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90" windowHeight="5490" activeTab="0"/>
  </bookViews>
  <sheets>
    <sheet name="расчет" sheetId="1" r:id="rId1"/>
    <sheet name="схема" sheetId="2" r:id="rId2"/>
    <sheet name="Графики" sheetId="3" r:id="rId3"/>
    <sheet name="Табличка" sheetId="4" r:id="rId4"/>
  </sheets>
  <definedNames/>
  <calcPr fullCalcOnLoad="1"/>
</workbook>
</file>

<file path=xl/sharedStrings.xml><?xml version="1.0" encoding="utf-8"?>
<sst xmlns="http://schemas.openxmlformats.org/spreadsheetml/2006/main" count="350" uniqueCount="292">
  <si>
    <t>Фамилия И.О.</t>
  </si>
  <si>
    <t>Группа</t>
  </si>
  <si>
    <t>Номер задания</t>
  </si>
  <si>
    <t>ЦЕНТРЫ МАСС</t>
  </si>
  <si>
    <t>g=</t>
  </si>
  <si>
    <t>Тип</t>
  </si>
  <si>
    <t>Значение</t>
  </si>
  <si>
    <t xml:space="preserve">Тип </t>
  </si>
  <si>
    <t>Точка</t>
  </si>
  <si>
    <t>Alfa</t>
  </si>
  <si>
    <t>Beta</t>
  </si>
  <si>
    <t>mg</t>
  </si>
  <si>
    <t>J</t>
  </si>
  <si>
    <t>(Fi)0 grad</t>
  </si>
  <si>
    <t>L1</t>
  </si>
  <si>
    <t>A</t>
  </si>
  <si>
    <t>C1</t>
  </si>
  <si>
    <t>(Fi)t 0</t>
  </si>
  <si>
    <t>L2</t>
  </si>
  <si>
    <t>B</t>
  </si>
  <si>
    <t>C2</t>
  </si>
  <si>
    <t>(Fi)tt  0</t>
  </si>
  <si>
    <t>L3</t>
  </si>
  <si>
    <t>C3</t>
  </si>
  <si>
    <t xml:space="preserve">   +(Fi)tt=</t>
  </si>
  <si>
    <t>D</t>
  </si>
  <si>
    <t>Delta(Fi) градусы</t>
  </si>
  <si>
    <t>Delta(Fi) радианы</t>
  </si>
  <si>
    <t>координаты шарнира О1  a1</t>
  </si>
  <si>
    <t xml:space="preserve">                                  b1</t>
  </si>
  <si>
    <t>Ugol(гр)</t>
  </si>
  <si>
    <t xml:space="preserve">Расстояние до направляющей </t>
  </si>
  <si>
    <t>Ugol(рад)</t>
  </si>
  <si>
    <t>tg(ugol)=</t>
  </si>
  <si>
    <t>Угловые характеристики работы кривошипа</t>
  </si>
  <si>
    <t>Сорокина Е.Д.</t>
  </si>
  <si>
    <t>ГГ-1-05</t>
  </si>
  <si>
    <t>Fi</t>
  </si>
  <si>
    <t>Fi(радианы)</t>
  </si>
  <si>
    <t>Delta(Fi)</t>
  </si>
  <si>
    <t>cos(DeltaFi)</t>
  </si>
  <si>
    <t>sin(DeltaFi)</t>
  </si>
  <si>
    <t>Fi(tt)</t>
  </si>
  <si>
    <t>Delta(t)</t>
  </si>
  <si>
    <t>Fi(t)</t>
  </si>
  <si>
    <t>Fi   расчетн</t>
  </si>
  <si>
    <t>Проверка</t>
  </si>
  <si>
    <t>Кинематический анализ</t>
  </si>
  <si>
    <t>(X)A=</t>
  </si>
  <si>
    <t>(Y)A=</t>
  </si>
  <si>
    <t>(X_t)A=</t>
  </si>
  <si>
    <t>(Y_t)A=</t>
  </si>
  <si>
    <t>(X_tt)A=</t>
  </si>
  <si>
    <t>(Y_tt)A=</t>
  </si>
  <si>
    <t>Проверка L1</t>
  </si>
  <si>
    <t>Точка В через А</t>
  </si>
  <si>
    <t>(X)B=</t>
  </si>
  <si>
    <t>(Y)B=</t>
  </si>
  <si>
    <t>(X_t)B=</t>
  </si>
  <si>
    <t>(Y_t)B=</t>
  </si>
  <si>
    <t>(X_tt)B=</t>
  </si>
  <si>
    <t>(Y_tt)B=</t>
  </si>
  <si>
    <t>Проверка L2</t>
  </si>
  <si>
    <t>точка С1</t>
  </si>
  <si>
    <t>Угловые характеристики для кулисной пары</t>
  </si>
  <si>
    <t>Ltek</t>
  </si>
  <si>
    <t>(psi)t</t>
  </si>
  <si>
    <t>(Ltek)t</t>
  </si>
  <si>
    <t>(Ltek)tt</t>
  </si>
  <si>
    <t>delta (psi)</t>
  </si>
  <si>
    <t>(psi)tt</t>
  </si>
  <si>
    <t xml:space="preserve">psi </t>
  </si>
  <si>
    <t>psi rad</t>
  </si>
  <si>
    <t>tg(psi)</t>
  </si>
  <si>
    <t>(psi)tt1</t>
  </si>
  <si>
    <t>(psi)tt2</t>
  </si>
  <si>
    <t>(psi)tt3</t>
  </si>
  <si>
    <t>cos psi</t>
  </si>
  <si>
    <t>Расчет коромысла 3 с осью О2</t>
  </si>
  <si>
    <t>n</t>
  </si>
  <si>
    <t>P</t>
  </si>
  <si>
    <t>(X)P=</t>
  </si>
  <si>
    <t>(Y)P=</t>
  </si>
  <si>
    <t>(X t)P=</t>
  </si>
  <si>
    <t>(Y t)P=</t>
  </si>
  <si>
    <t>(X tt)P=</t>
  </si>
  <si>
    <t>(Y tt)P=</t>
  </si>
  <si>
    <t>Кривошипно-ползунный механизм</t>
  </si>
  <si>
    <t xml:space="preserve"> Точка А через О</t>
  </si>
  <si>
    <t>h</t>
  </si>
  <si>
    <t>(h)t</t>
  </si>
  <si>
    <t>(h)tt</t>
  </si>
  <si>
    <t>Kof B</t>
  </si>
  <si>
    <t>мю</t>
  </si>
  <si>
    <t>(мю)tt</t>
  </si>
  <si>
    <t>(мю)t</t>
  </si>
  <si>
    <t>мю1</t>
  </si>
  <si>
    <t>мю2</t>
  </si>
  <si>
    <t>teta</t>
  </si>
  <si>
    <t>(teta)t</t>
  </si>
  <si>
    <t>(teta)tt</t>
  </si>
  <si>
    <t>(X)D=</t>
  </si>
  <si>
    <t>(Y)D=</t>
  </si>
  <si>
    <t>(X t)D=</t>
  </si>
  <si>
    <t>(Y t)D=</t>
  </si>
  <si>
    <t>(X tt)D=</t>
  </si>
  <si>
    <t>(Y tt)D=</t>
  </si>
  <si>
    <t>Delta teta</t>
  </si>
  <si>
    <t>проверка</t>
  </si>
  <si>
    <t>O2</t>
  </si>
  <si>
    <t>(X)C1=</t>
  </si>
  <si>
    <t>(Y)C1=</t>
  </si>
  <si>
    <t>(X_t)C1=</t>
  </si>
  <si>
    <t>(Y_t)C1=</t>
  </si>
  <si>
    <t>(X_tt)C1=</t>
  </si>
  <si>
    <t>(Y_tt)C1=</t>
  </si>
  <si>
    <t>Fx</t>
  </si>
  <si>
    <t>Fy</t>
  </si>
  <si>
    <t>Mc</t>
  </si>
  <si>
    <t>Епот.</t>
  </si>
  <si>
    <t>Eкин.</t>
  </si>
  <si>
    <t>Wпот.</t>
  </si>
  <si>
    <t>Wкин.</t>
  </si>
  <si>
    <t>Точка С2</t>
  </si>
  <si>
    <t>Точка С3</t>
  </si>
  <si>
    <t>(X)C3=</t>
  </si>
  <si>
    <t>(Y)C3=</t>
  </si>
  <si>
    <t>(X_t)C3=</t>
  </si>
  <si>
    <t>(Y_t)C3=</t>
  </si>
  <si>
    <t>(X_tt)C3=</t>
  </si>
  <si>
    <t>(Y_tt)C3=</t>
  </si>
  <si>
    <t>(X)C2=</t>
  </si>
  <si>
    <t>(Y)C2=</t>
  </si>
  <si>
    <t>(X_t)C2=</t>
  </si>
  <si>
    <t>(Y_t)C2=</t>
  </si>
  <si>
    <t>(X_tt)C2=</t>
  </si>
  <si>
    <t>(Y_tt)C2=</t>
  </si>
  <si>
    <t>mi</t>
  </si>
  <si>
    <t>sin(мю)</t>
  </si>
  <si>
    <t>(мю)</t>
  </si>
  <si>
    <t>Точка D через В</t>
  </si>
  <si>
    <t>точка С4</t>
  </si>
  <si>
    <t>(X)C4=</t>
  </si>
  <si>
    <t>(Y)C4=</t>
  </si>
  <si>
    <t>(X_t)C4=</t>
  </si>
  <si>
    <t>(Y_t)C4=</t>
  </si>
  <si>
    <t>С4</t>
  </si>
  <si>
    <t>С5</t>
  </si>
  <si>
    <t>(X_tt)C4=</t>
  </si>
  <si>
    <t>(Y_tt)C4=</t>
  </si>
  <si>
    <t>Точка С5</t>
  </si>
  <si>
    <t>(X)C5=</t>
  </si>
  <si>
    <t>(Y)C5=</t>
  </si>
  <si>
    <t>(X_t)C5=</t>
  </si>
  <si>
    <t>(Y_t)C5=</t>
  </si>
  <si>
    <t>(X_tt)C5=</t>
  </si>
  <si>
    <t>(Y_tt)C5=</t>
  </si>
  <si>
    <t>Точка М5</t>
  </si>
  <si>
    <t>(X)М5=</t>
  </si>
  <si>
    <t>(Y)М5=</t>
  </si>
  <si>
    <t>(X_t)М5=</t>
  </si>
  <si>
    <t>(Y_t)М5=</t>
  </si>
  <si>
    <t>(X_tt)М5=</t>
  </si>
  <si>
    <t>(Y_tt)М5=</t>
  </si>
  <si>
    <t>M5</t>
  </si>
  <si>
    <t>Технологические силы</t>
  </si>
  <si>
    <t>Т5</t>
  </si>
  <si>
    <t>(x)T5</t>
  </si>
  <si>
    <t>(y)T5</t>
  </si>
  <si>
    <t>(X_t)T5=</t>
  </si>
  <si>
    <t>(Y_t)T5=</t>
  </si>
  <si>
    <t>(X_tt)T5=</t>
  </si>
  <si>
    <t>(Y_tt)T5=</t>
  </si>
  <si>
    <t>технологические силы</t>
  </si>
  <si>
    <t>А</t>
  </si>
  <si>
    <t>В</t>
  </si>
  <si>
    <t>С</t>
  </si>
  <si>
    <t>Тх</t>
  </si>
  <si>
    <t>Ту</t>
  </si>
  <si>
    <t>Мт</t>
  </si>
  <si>
    <t>(Tx)T5=</t>
  </si>
  <si>
    <t>(TY)T5=</t>
  </si>
  <si>
    <t>(M)T5=</t>
  </si>
  <si>
    <t>Силовой расчет</t>
  </si>
  <si>
    <t>Звено 5 шарнир D5</t>
  </si>
  <si>
    <t>(Qx)D5=</t>
  </si>
  <si>
    <t>(W)D5=</t>
  </si>
  <si>
    <t>(M)D5=</t>
  </si>
  <si>
    <t>(Qу)D5=</t>
  </si>
  <si>
    <t>Wteh</t>
  </si>
  <si>
    <t>Ws</t>
  </si>
  <si>
    <t>Звено 4 шарнир B4</t>
  </si>
  <si>
    <t>(Qx)B4=</t>
  </si>
  <si>
    <t>(W)B4=</t>
  </si>
  <si>
    <t>(Qу)B4=</t>
  </si>
  <si>
    <t>(M)B4=</t>
  </si>
  <si>
    <t>звено 3 коромысло N2</t>
  </si>
  <si>
    <t>k</t>
  </si>
  <si>
    <t>(X_t)N2=</t>
  </si>
  <si>
    <t>(Y_t)N2=</t>
  </si>
  <si>
    <t>(X_t)O1=</t>
  </si>
  <si>
    <t>(Y_t)O1=</t>
  </si>
  <si>
    <t>(Qx)O1=</t>
  </si>
  <si>
    <t>(Qу)O1=</t>
  </si>
  <si>
    <t>(M)O1=</t>
  </si>
  <si>
    <t>(W)O=</t>
  </si>
  <si>
    <t>(M)O=</t>
  </si>
  <si>
    <t>POINT O1 on ZV3</t>
  </si>
  <si>
    <t>(W)O1=</t>
  </si>
  <si>
    <t>Звено 1 кривошип O</t>
  </si>
  <si>
    <t>(Nx)O=</t>
  </si>
  <si>
    <t>(Ny)O=</t>
  </si>
  <si>
    <t>итоговая проверка</t>
  </si>
  <si>
    <t>Энергетические потоки</t>
  </si>
  <si>
    <t>Ws(C2)=</t>
  </si>
  <si>
    <t>Ws(C1)=</t>
  </si>
  <si>
    <t>Ws(C3)=</t>
  </si>
  <si>
    <t>Ws(C4)=</t>
  </si>
  <si>
    <t>Ws(C5)=</t>
  </si>
  <si>
    <t>Звено 2  тА</t>
  </si>
  <si>
    <t>(Q x) A=</t>
  </si>
  <si>
    <t>(Q y)A=</t>
  </si>
  <si>
    <t>(M)A=</t>
  </si>
  <si>
    <t>(W)A=</t>
  </si>
  <si>
    <t>M(W)</t>
  </si>
  <si>
    <t>φ</t>
  </si>
  <si>
    <t>θ</t>
  </si>
  <si>
    <t>ψ</t>
  </si>
  <si>
    <t>x=</t>
  </si>
  <si>
    <t>y=</t>
  </si>
  <si>
    <t>O1/2</t>
  </si>
  <si>
    <t>(x)t=</t>
  </si>
  <si>
    <t>(y)tt=</t>
  </si>
  <si>
    <t>(y)t=</t>
  </si>
  <si>
    <t>(x)tt=</t>
  </si>
  <si>
    <t>α=</t>
  </si>
  <si>
    <t>β=</t>
  </si>
  <si>
    <t>Qx=</t>
  </si>
  <si>
    <t>Qy=</t>
  </si>
  <si>
    <t>F5</t>
  </si>
  <si>
    <t>G5</t>
  </si>
  <si>
    <t>F6</t>
  </si>
  <si>
    <t>G6</t>
  </si>
  <si>
    <t>F7</t>
  </si>
  <si>
    <t>G7</t>
  </si>
  <si>
    <t>J=</t>
  </si>
  <si>
    <t>mg=</t>
  </si>
  <si>
    <t>m=</t>
  </si>
  <si>
    <t>Fx=</t>
  </si>
  <si>
    <t>Fy=</t>
  </si>
  <si>
    <t>Mc=</t>
  </si>
  <si>
    <t>Wkin=</t>
  </si>
  <si>
    <t>Wpot=</t>
  </si>
  <si>
    <t>Ws=</t>
  </si>
  <si>
    <t>C4</t>
  </si>
  <si>
    <t>C5</t>
  </si>
  <si>
    <t>T5</t>
  </si>
  <si>
    <t>K5</t>
  </si>
  <si>
    <t>K6</t>
  </si>
  <si>
    <t>K7</t>
  </si>
  <si>
    <t>K8</t>
  </si>
  <si>
    <t>K9</t>
  </si>
  <si>
    <t>L</t>
  </si>
  <si>
    <t>L5</t>
  </si>
  <si>
    <t>L6</t>
  </si>
  <si>
    <t>L7</t>
  </si>
  <si>
    <t>L8</t>
  </si>
  <si>
    <t>L9</t>
  </si>
  <si>
    <t>O</t>
  </si>
  <si>
    <t>O5</t>
  </si>
  <si>
    <t>O6</t>
  </si>
  <si>
    <t>O7</t>
  </si>
  <si>
    <t>O8</t>
  </si>
  <si>
    <t>O9</t>
  </si>
  <si>
    <t>J5</t>
  </si>
  <si>
    <t>J6</t>
  </si>
  <si>
    <t>J7</t>
  </si>
  <si>
    <t>J8</t>
  </si>
  <si>
    <t>J9</t>
  </si>
  <si>
    <t>I5</t>
  </si>
  <si>
    <t>I6</t>
  </si>
  <si>
    <t>I7</t>
  </si>
  <si>
    <t>I8</t>
  </si>
  <si>
    <t>I9</t>
  </si>
  <si>
    <r>
      <t>(</t>
    </r>
    <r>
      <rPr>
        <b/>
        <sz val="11"/>
        <color indexed="12"/>
        <rFont val="Arial Cyr"/>
        <family val="0"/>
      </rPr>
      <t>Ω</t>
    </r>
    <r>
      <rPr>
        <b/>
        <sz val="11"/>
        <color indexed="12"/>
        <rFont val="Calibri"/>
        <family val="2"/>
      </rPr>
      <t>)=</t>
    </r>
  </si>
  <si>
    <r>
      <t>(</t>
    </r>
    <r>
      <rPr>
        <b/>
        <sz val="11"/>
        <color indexed="57"/>
        <rFont val="Arial Cyr"/>
        <family val="0"/>
      </rPr>
      <t>Ω</t>
    </r>
    <r>
      <rPr>
        <b/>
        <sz val="11"/>
        <color indexed="57"/>
        <rFont val="Calibri"/>
        <family val="2"/>
      </rPr>
      <t>)t=</t>
    </r>
  </si>
  <si>
    <r>
      <t>(</t>
    </r>
    <r>
      <rPr>
        <b/>
        <sz val="11"/>
        <color indexed="52"/>
        <rFont val="Arial Cyr"/>
        <family val="0"/>
      </rPr>
      <t>Ω</t>
    </r>
    <r>
      <rPr>
        <b/>
        <sz val="11"/>
        <color indexed="52"/>
        <rFont val="Calibri"/>
        <family val="2"/>
      </rPr>
      <t>)tt=</t>
    </r>
  </si>
  <si>
    <r>
      <t>∆</t>
    </r>
    <r>
      <rPr>
        <b/>
        <sz val="11"/>
        <color indexed="49"/>
        <rFont val="Calibri"/>
        <family val="2"/>
      </rPr>
      <t>(</t>
    </r>
    <r>
      <rPr>
        <b/>
        <sz val="11"/>
        <color indexed="49"/>
        <rFont val="Arial Cyr"/>
        <family val="0"/>
      </rPr>
      <t>Ω</t>
    </r>
    <r>
      <rPr>
        <b/>
        <sz val="11"/>
        <color indexed="49"/>
        <rFont val="Calibri"/>
        <family val="2"/>
      </rPr>
      <t>)=</t>
    </r>
  </si>
  <si>
    <r>
      <t>L</t>
    </r>
    <r>
      <rPr>
        <b/>
        <sz val="10"/>
        <rFont val="Calibri"/>
        <family val="2"/>
      </rPr>
      <t>²tek</t>
    </r>
  </si>
  <si>
    <t>M=</t>
  </si>
  <si>
    <t>W=</t>
  </si>
  <si>
    <t xml:space="preserve"> Момент инерции маховика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</si>
</sst>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2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Arial Cyr"/>
      <family val="0"/>
    </font>
    <font>
      <sz val="8.75"/>
      <color indexed="8"/>
      <name val="Arial Cyr"/>
      <family val="0"/>
    </font>
    <font>
      <sz val="8.05"/>
      <color indexed="8"/>
      <name val="Arial Cyr"/>
      <family val="0"/>
    </font>
    <font>
      <sz val="11"/>
      <color indexed="48"/>
      <name val="Calibri"/>
      <family val="2"/>
    </font>
    <font>
      <sz val="10"/>
      <color indexed="48"/>
      <name val="Arial Cyr"/>
      <family val="0"/>
    </font>
    <font>
      <sz val="11"/>
      <color indexed="61"/>
      <name val="Calibri"/>
      <family val="2"/>
    </font>
    <font>
      <sz val="10"/>
      <color indexed="61"/>
      <name val="Arial Cyr"/>
      <family val="0"/>
    </font>
    <font>
      <sz val="11"/>
      <color indexed="16"/>
      <name val="Calibri"/>
      <family val="2"/>
    </font>
    <font>
      <sz val="10"/>
      <color indexed="16"/>
      <name val="Arial Cyr"/>
      <family val="0"/>
    </font>
    <font>
      <sz val="8"/>
      <color indexed="8"/>
      <name val="Calibri"/>
      <family val="2"/>
    </font>
    <font>
      <sz val="8"/>
      <color indexed="16"/>
      <name val="Calibri"/>
      <family val="2"/>
    </font>
    <font>
      <sz val="10"/>
      <color indexed="16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48"/>
      <name val="Calibri"/>
      <family val="2"/>
    </font>
    <font>
      <b/>
      <sz val="11"/>
      <color indexed="61"/>
      <name val="Calibri"/>
      <family val="2"/>
    </font>
    <font>
      <b/>
      <sz val="11"/>
      <color indexed="1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57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0"/>
    </font>
    <font>
      <i/>
      <sz val="5"/>
      <color indexed="8"/>
      <name val="Calibri"/>
      <family val="0"/>
    </font>
    <font>
      <i/>
      <sz val="7"/>
      <color indexed="8"/>
      <name val="Calibri"/>
      <family val="0"/>
    </font>
    <font>
      <sz val="6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Arial Cyr"/>
      <family val="0"/>
    </font>
    <font>
      <sz val="8.75"/>
      <name val="Arial Cyr"/>
      <family val="0"/>
    </font>
    <font>
      <sz val="11"/>
      <color indexed="12"/>
      <name val="Calibri"/>
      <family val="0"/>
    </font>
    <font>
      <b/>
      <sz val="11"/>
      <color indexed="12"/>
      <name val="Calibri"/>
      <family val="2"/>
    </font>
    <font>
      <b/>
      <sz val="11"/>
      <color indexed="12"/>
      <name val="Arial Cyr"/>
      <family val="0"/>
    </font>
    <font>
      <b/>
      <sz val="11"/>
      <color indexed="57"/>
      <name val="Arial Cyr"/>
      <family val="0"/>
    </font>
    <font>
      <sz val="11"/>
      <color indexed="57"/>
      <name val="Calibri"/>
      <family val="0"/>
    </font>
    <font>
      <b/>
      <sz val="11"/>
      <color indexed="52"/>
      <name val="Arial Cyr"/>
      <family val="0"/>
    </font>
    <font>
      <b/>
      <sz val="11"/>
      <color indexed="14"/>
      <name val="Arial Cyr"/>
      <family val="0"/>
    </font>
    <font>
      <sz val="11"/>
      <color indexed="14"/>
      <name val="Calibri"/>
      <family val="2"/>
    </font>
    <font>
      <b/>
      <sz val="11"/>
      <color indexed="14"/>
      <name val="Calibri"/>
      <family val="0"/>
    </font>
    <font>
      <b/>
      <sz val="11"/>
      <color indexed="20"/>
      <name val="Calibri"/>
      <family val="2"/>
    </font>
    <font>
      <b/>
      <sz val="11"/>
      <color indexed="21"/>
      <name val="Calibri"/>
      <family val="0"/>
    </font>
    <font>
      <sz val="11"/>
      <color indexed="21"/>
      <name val="Calibri"/>
      <family val="0"/>
    </font>
    <font>
      <b/>
      <sz val="11"/>
      <color indexed="49"/>
      <name val="Arial Cyr"/>
      <family val="0"/>
    </font>
    <font>
      <b/>
      <sz val="11"/>
      <color indexed="49"/>
      <name val="Calibri"/>
      <family val="2"/>
    </font>
    <font>
      <sz val="11"/>
      <color indexed="49"/>
      <name val="Calibri"/>
      <family val="0"/>
    </font>
    <font>
      <b/>
      <sz val="10"/>
      <color indexed="14"/>
      <name val="Calibri"/>
      <family val="0"/>
    </font>
    <font>
      <b/>
      <sz val="10"/>
      <color indexed="48"/>
      <name val="Arial Cyr"/>
      <family val="0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10"/>
      <color indexed="10"/>
      <name val="Calibri"/>
      <family val="2"/>
    </font>
    <font>
      <b/>
      <sz val="8"/>
      <color indexed="16"/>
      <name val="Calibri"/>
      <family val="2"/>
    </font>
    <font>
      <b/>
      <sz val="8"/>
      <color indexed="8"/>
      <name val="Calibri"/>
      <family val="2"/>
    </font>
    <font>
      <sz val="11"/>
      <color indexed="19"/>
      <name val="Calibri"/>
      <family val="2"/>
    </font>
    <font>
      <sz val="11"/>
      <name val="Arial Cyr"/>
      <family val="2"/>
    </font>
    <font>
      <sz val="11"/>
      <color indexed="10"/>
      <name val="Arial Cyr"/>
      <family val="0"/>
    </font>
    <font>
      <sz val="11"/>
      <color indexed="48"/>
      <name val="Arial Cyr"/>
      <family val="0"/>
    </font>
    <font>
      <sz val="11"/>
      <color indexed="61"/>
      <name val="Arial Cyr"/>
      <family val="0"/>
    </font>
    <font>
      <sz val="11"/>
      <color indexed="16"/>
      <name val="Arial Cyr"/>
      <family val="0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48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 vertical="center"/>
    </xf>
    <xf numFmtId="2" fontId="1" fillId="11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25" fillId="11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26" fillId="10" borderId="0" xfId="0" applyNumberFormat="1" applyFont="1" applyFill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68" fillId="0" borderId="0" xfId="0" applyNumberFormat="1" applyFont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 horizontal="center"/>
    </xf>
    <xf numFmtId="2" fontId="69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71" fillId="0" borderId="13" xfId="0" applyNumberFormat="1" applyFont="1" applyFill="1" applyBorder="1" applyAlignment="1">
      <alignment horizontal="center"/>
    </xf>
    <xf numFmtId="2" fontId="71" fillId="0" borderId="10" xfId="0" applyNumberFormat="1" applyFont="1" applyFill="1" applyBorder="1" applyAlignment="1">
      <alignment horizontal="center"/>
    </xf>
    <xf numFmtId="2" fontId="70" fillId="0" borderId="0" xfId="0" applyNumberFormat="1" applyFont="1" applyAlignment="1">
      <alignment horizontal="center"/>
    </xf>
    <xf numFmtId="164" fontId="71" fillId="0" borderId="10" xfId="0" applyNumberFormat="1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74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11" borderId="0" xfId="0" applyNumberFormat="1" applyFont="1" applyFill="1" applyAlignment="1">
      <alignment horizontal="center"/>
    </xf>
    <xf numFmtId="2" fontId="26" fillId="8" borderId="0" xfId="0" applyNumberFormat="1" applyFont="1" applyFill="1" applyAlignment="1">
      <alignment horizontal="left"/>
    </xf>
    <xf numFmtId="2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26" fillId="24" borderId="0" xfId="0" applyNumberFormat="1" applyFont="1" applyFill="1" applyAlignment="1">
      <alignment horizontal="center"/>
    </xf>
    <xf numFmtId="2" fontId="26" fillId="3" borderId="0" xfId="0" applyNumberFormat="1" applyFont="1" applyFill="1" applyAlignment="1">
      <alignment horizontal="center" vertical="center" wrapText="1"/>
    </xf>
    <xf numFmtId="2" fontId="26" fillId="17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2" fontId="0" fillId="25" borderId="12" xfId="0" applyNumberFormat="1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6" fillId="11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25" fillId="11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2" fontId="2" fillId="11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2" fontId="0" fillId="8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75" fillId="0" borderId="12" xfId="0" applyNumberFormat="1" applyFont="1" applyFill="1" applyBorder="1" applyAlignment="1">
      <alignment horizontal="center"/>
    </xf>
    <xf numFmtId="2" fontId="75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25" borderId="14" xfId="0" applyNumberFormat="1" applyFont="1" applyFill="1" applyBorder="1" applyAlignment="1">
      <alignment horizontal="center"/>
    </xf>
    <xf numFmtId="2" fontId="0" fillId="25" borderId="15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0" fillId="25" borderId="16" xfId="0" applyNumberFormat="1" applyFont="1" applyFill="1" applyBorder="1" applyAlignment="1">
      <alignment horizontal="center"/>
    </xf>
    <xf numFmtId="2" fontId="75" fillId="0" borderId="16" xfId="0" applyNumberFormat="1" applyFont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0" fillId="25" borderId="16" xfId="0" applyNumberFormat="1" applyFont="1" applyFill="1" applyBorder="1" applyAlignment="1">
      <alignment horizontal="center"/>
    </xf>
    <xf numFmtId="2" fontId="75" fillId="0" borderId="16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76" fillId="7" borderId="12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center"/>
    </xf>
    <xf numFmtId="2" fontId="0" fillId="25" borderId="16" xfId="0" applyNumberFormat="1" applyFont="1" applyFill="1" applyBorder="1" applyAlignment="1">
      <alignment horizontal="center"/>
    </xf>
    <xf numFmtId="2" fontId="77" fillId="25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77" fillId="25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25" borderId="14" xfId="0" applyNumberFormat="1" applyFont="1" applyFill="1" applyBorder="1" applyAlignment="1">
      <alignment horizontal="center"/>
    </xf>
    <xf numFmtId="2" fontId="0" fillId="25" borderId="17" xfId="0" applyNumberFormat="1" applyFont="1" applyFill="1" applyBorder="1" applyAlignment="1">
      <alignment horizontal="center"/>
    </xf>
    <xf numFmtId="2" fontId="0" fillId="25" borderId="15" xfId="0" applyNumberFormat="1" applyFont="1" applyFill="1" applyBorder="1" applyAlignment="1">
      <alignment horizontal="center"/>
    </xf>
    <xf numFmtId="2" fontId="0" fillId="25" borderId="20" xfId="0" applyNumberFormat="1" applyFont="1" applyFill="1" applyBorder="1" applyAlignment="1">
      <alignment horizontal="center"/>
    </xf>
    <xf numFmtId="2" fontId="0" fillId="25" borderId="0" xfId="0" applyNumberFormat="1" applyFont="1" applyFill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2" fontId="0" fillId="11" borderId="17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25" borderId="14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2" fontId="0" fillId="11" borderId="17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0" fillId="11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center"/>
    </xf>
    <xf numFmtId="164" fontId="78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76" fillId="25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0" fillId="11" borderId="0" xfId="0" applyNumberFormat="1" applyFont="1" applyFill="1" applyBorder="1" applyAlignment="1">
      <alignment horizontal="center"/>
    </xf>
    <xf numFmtId="2" fontId="6" fillId="1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/>
    </xf>
    <xf numFmtId="2" fontId="77" fillId="11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2" fillId="25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2" fontId="26" fillId="8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0" fillId="11" borderId="0" xfId="0" applyNumberFormat="1" applyFont="1" applyFill="1" applyAlignment="1">
      <alignment horizontal="center"/>
    </xf>
    <xf numFmtId="2" fontId="15" fillId="11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2" fontId="25" fillId="26" borderId="0" xfId="0" applyNumberFormat="1" applyFont="1" applyFill="1" applyAlignment="1">
      <alignment horizontal="center"/>
    </xf>
    <xf numFmtId="2" fontId="0" fillId="26" borderId="0" xfId="0" applyNumberFormat="1" applyFont="1" applyFill="1" applyAlignment="1">
      <alignment horizontal="center"/>
    </xf>
    <xf numFmtId="2" fontId="41" fillId="11" borderId="0" xfId="0" applyNumberFormat="1" applyFont="1" applyFill="1" applyBorder="1" applyAlignment="1">
      <alignment horizontal="center"/>
    </xf>
    <xf numFmtId="2" fontId="0" fillId="17" borderId="0" xfId="0" applyNumberFormat="1" applyFont="1" applyFill="1" applyAlignment="1">
      <alignment horizontal="center"/>
    </xf>
    <xf numFmtId="2" fontId="0" fillId="27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27" fillId="5" borderId="14" xfId="0" applyNumberFormat="1" applyFont="1" applyFill="1" applyBorder="1" applyAlignment="1">
      <alignment horizontal="left"/>
    </xf>
    <xf numFmtId="2" fontId="57" fillId="5" borderId="0" xfId="0" applyNumberFormat="1" applyFont="1" applyFill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25" borderId="13" xfId="0" applyNumberFormat="1" applyFont="1" applyFill="1" applyBorder="1" applyAlignment="1">
      <alignment horizontal="left"/>
    </xf>
    <xf numFmtId="2" fontId="0" fillId="25" borderId="21" xfId="0" applyNumberFormat="1" applyFont="1" applyFill="1" applyBorder="1" applyAlignment="1">
      <alignment horizontal="left"/>
    </xf>
    <xf numFmtId="2" fontId="0" fillId="25" borderId="23" xfId="0" applyNumberFormat="1" applyFont="1" applyFill="1" applyBorder="1" applyAlignment="1">
      <alignment horizontal="left"/>
    </xf>
    <xf numFmtId="2" fontId="2" fillId="25" borderId="13" xfId="0" applyNumberFormat="1" applyFont="1" applyFill="1" applyBorder="1" applyAlignment="1">
      <alignment horizontal="left"/>
    </xf>
    <xf numFmtId="2" fontId="2" fillId="11" borderId="22" xfId="0" applyNumberFormat="1" applyFont="1" applyFill="1" applyBorder="1" applyAlignment="1">
      <alignment horizontal="left"/>
    </xf>
    <xf numFmtId="2" fontId="2" fillId="25" borderId="12" xfId="0" applyNumberFormat="1" applyFont="1" applyFill="1" applyBorder="1" applyAlignment="1">
      <alignment horizontal="left"/>
    </xf>
    <xf numFmtId="2" fontId="2" fillId="25" borderId="0" xfId="0" applyNumberFormat="1" applyFont="1" applyFill="1" applyBorder="1" applyAlignment="1">
      <alignment horizontal="left"/>
    </xf>
    <xf numFmtId="2" fontId="2" fillId="25" borderId="0" xfId="0" applyNumberFormat="1" applyFont="1" applyFill="1" applyBorder="1" applyAlignment="1">
      <alignment horizontal="left"/>
    </xf>
    <xf numFmtId="2" fontId="26" fillId="26" borderId="0" xfId="0" applyNumberFormat="1" applyFont="1" applyFill="1" applyAlignment="1">
      <alignment horizontal="left"/>
    </xf>
    <xf numFmtId="2" fontId="26" fillId="27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расчет!$A$238</c:f>
              <c:strCache>
                <c:ptCount val="1"/>
                <c:pt idx="0">
                  <c:v>(M)O=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расчет!$B$238:$AA$238</c:f>
              <c:numCache/>
            </c:numRef>
          </c:val>
          <c:smooth val="0"/>
        </c:ser>
        <c:ser>
          <c:idx val="1"/>
          <c:order val="1"/>
          <c:tx>
            <c:strRef>
              <c:f>расчет!$A$242</c:f>
              <c:strCache>
                <c:ptCount val="1"/>
                <c:pt idx="0">
                  <c:v>M(W)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9999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расчет!$B$242:$AA$242</c:f>
              <c:numCache/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pattFill prst="dotGrid">
      <a:fgClr>
        <a:srgbClr val="FFFFFF"/>
      </a:fgClr>
      <a:bgClr>
        <a:srgbClr val="FF99CC"/>
      </a:bgClr>
    </a:patt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8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расчет!$A$56</c:f>
              <c:strCache>
                <c:ptCount val="1"/>
                <c:pt idx="0">
                  <c:v>psi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расчет!$B$56:$Z$56</c:f>
              <c:numCache>
                <c:ptCount val="25"/>
                <c:pt idx="0">
                  <c:v>0.4495288514602932</c:v>
                </c:pt>
                <c:pt idx="1">
                  <c:v>0.21272733855446838</c:v>
                </c:pt>
                <c:pt idx="2">
                  <c:v>-0.013157837598222373</c:v>
                </c:pt>
                <c:pt idx="3">
                  <c:v>-0.16647728859330346</c:v>
                </c:pt>
                <c:pt idx="4">
                  <c:v>-0.2423818451538175</c:v>
                </c:pt>
                <c:pt idx="5">
                  <c:v>-0.2613854582361625</c:v>
                </c:pt>
                <c:pt idx="6">
                  <c:v>-0.24287104103747495</c:v>
                </c:pt>
                <c:pt idx="7">
                  <c:v>-0.19998614127154227</c:v>
                </c:pt>
                <c:pt idx="8">
                  <c:v>-0.14106938466003285</c:v>
                </c:pt>
                <c:pt idx="9">
                  <c:v>-0.07146106003449239</c:v>
                </c:pt>
                <c:pt idx="10">
                  <c:v>0.005284260149831194</c:v>
                </c:pt>
                <c:pt idx="11">
                  <c:v>0.08666867653328522</c:v>
                </c:pt>
                <c:pt idx="12">
                  <c:v>0.17081202652699276</c:v>
                </c:pt>
                <c:pt idx="13">
                  <c:v>0.25617312959502586</c:v>
                </c:pt>
                <c:pt idx="14">
                  <c:v>0.3413533359841715</c:v>
                </c:pt>
                <c:pt idx="15">
                  <c:v>0.4249331036686123</c:v>
                </c:pt>
                <c:pt idx="16">
                  <c:v>0.5053037995945304</c:v>
                </c:pt>
                <c:pt idx="17">
                  <c:v>0.5804552694219295</c:v>
                </c:pt>
                <c:pt idx="18">
                  <c:v>0.6476643276694226</c:v>
                </c:pt>
                <c:pt idx="19">
                  <c:v>0.7029951107311975</c:v>
                </c:pt>
                <c:pt idx="20">
                  <c:v>0.7404640335104209</c:v>
                </c:pt>
                <c:pt idx="21">
                  <c:v>0.7506683915524142</c:v>
                </c:pt>
                <c:pt idx="22">
                  <c:v>0.7188812625535093</c:v>
                </c:pt>
                <c:pt idx="23">
                  <c:v>0.6243650330190302</c:v>
                </c:pt>
                <c:pt idx="24">
                  <c:v>0.4495288514602934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расчет!$A$62</c:f>
              <c:strCache>
                <c:ptCount val="1"/>
                <c:pt idx="0">
                  <c:v>(psi)t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расчет!$B$62:$Z$62</c:f>
              <c:numCache>
                <c:ptCount val="25"/>
                <c:pt idx="0">
                  <c:v>-0.8177561709524601</c:v>
                </c:pt>
                <c:pt idx="1">
                  <c:v>-0.9389242699395525</c:v>
                </c:pt>
                <c:pt idx="2">
                  <c:v>-0.7441732262345512</c:v>
                </c:pt>
                <c:pt idx="3">
                  <c:v>-0.42783296827083994</c:v>
                </c:pt>
                <c:pt idx="4">
                  <c:v>-0.1673006014107597</c:v>
                </c:pt>
                <c:pt idx="5">
                  <c:v>0.009386864245670574</c:v>
                </c:pt>
                <c:pt idx="6">
                  <c:v>0.1243248739593005</c:v>
                </c:pt>
                <c:pt idx="7">
                  <c:v>0.199677201675669</c:v>
                </c:pt>
                <c:pt idx="8">
                  <c:v>0.24999235399955796</c:v>
                </c:pt>
                <c:pt idx="9">
                  <c:v>0.28401294571023084</c:v>
                </c:pt>
                <c:pt idx="10">
                  <c:v>0.30691203319463106</c:v>
                </c:pt>
                <c:pt idx="11">
                  <c:v>0.3217340827008994</c:v>
                </c:pt>
                <c:pt idx="12">
                  <c:v>0.3302108596746034</c:v>
                </c:pt>
                <c:pt idx="13">
                  <c:v>0.333196094329743</c:v>
                </c:pt>
                <c:pt idx="14">
                  <c:v>0.330868692562088</c:v>
                </c:pt>
                <c:pt idx="15">
                  <c:v>0.32277564591557245</c:v>
                </c:pt>
                <c:pt idx="16">
                  <c:v>0.3077297482468988</c:v>
                </c:pt>
                <c:pt idx="17">
                  <c:v>0.28352673070866513</c:v>
                </c:pt>
                <c:pt idx="18">
                  <c:v>0.24638245941102252</c:v>
                </c:pt>
                <c:pt idx="19">
                  <c:v>0.1898973234358112</c:v>
                </c:pt>
                <c:pt idx="20">
                  <c:v>0.10325896735063714</c:v>
                </c:pt>
                <c:pt idx="21">
                  <c:v>-0.03137931651504884</c:v>
                </c:pt>
                <c:pt idx="22">
                  <c:v>-0.2399743187116203</c:v>
                </c:pt>
                <c:pt idx="23">
                  <c:v>-0.5415677802589511</c:v>
                </c:pt>
                <c:pt idx="24">
                  <c:v>-0.8749560890395428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расчет!$A$66</c:f>
              <c:strCache>
                <c:ptCount val="1"/>
                <c:pt idx="0">
                  <c:v>(psi)tt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расчет!$B$66:$Z$66</c:f>
              <c:numCache>
                <c:ptCount val="25"/>
                <c:pt idx="0">
                  <c:v>-0.9938423015829271</c:v>
                </c:pt>
                <c:pt idx="1">
                  <c:v>0.1790836425094866</c:v>
                </c:pt>
                <c:pt idx="2">
                  <c:v>1.1447107886943497</c:v>
                </c:pt>
                <c:pt idx="3">
                  <c:v>1.1560227790977513</c:v>
                </c:pt>
                <c:pt idx="4">
                  <c:v>0.8270957181521358</c:v>
                </c:pt>
                <c:pt idx="5">
                  <c:v>0.5419858680777849</c:v>
                </c:pt>
                <c:pt idx="6">
                  <c:v>0.35325806540442567</c:v>
                </c:pt>
                <c:pt idx="7">
                  <c:v>0.2343008948086663</c:v>
                </c:pt>
                <c:pt idx="8">
                  <c:v>0.1581425054779776</c:v>
                </c:pt>
                <c:pt idx="9">
                  <c:v>0.10736401561016459</c:v>
                </c:pt>
                <c:pt idx="10">
                  <c:v>0.07157165820373687</c:v>
                </c:pt>
                <c:pt idx="11">
                  <c:v>0.044491910993998</c:v>
                </c:pt>
                <c:pt idx="12">
                  <c:v>0.022103604291614745</c:v>
                </c:pt>
                <c:pt idx="13">
                  <c:v>0.00152407041113585</c:v>
                </c:pt>
                <c:pt idx="14">
                  <c:v>-0.019705449236427988</c:v>
                </c:pt>
                <c:pt idx="15">
                  <c:v>-0.04418579433177949</c:v>
                </c:pt>
                <c:pt idx="16">
                  <c:v>-0.07527425933649862</c:v>
                </c:pt>
                <c:pt idx="17">
                  <c:v>-0.11796478052058695</c:v>
                </c:pt>
                <c:pt idx="18">
                  <c:v>-0.1803498066218997</c:v>
                </c:pt>
                <c:pt idx="19">
                  <c:v>-0.27611711875981493</c:v>
                </c:pt>
                <c:pt idx="20">
                  <c:v>-0.42830014053607435</c:v>
                </c:pt>
                <c:pt idx="21">
                  <c:v>-0.6713369328443232</c:v>
                </c:pt>
                <c:pt idx="22">
                  <c:v>-1.0300538011798617</c:v>
                </c:pt>
                <c:pt idx="23">
                  <c:v>-1.3866090051720925</c:v>
                </c:pt>
                <c:pt idx="24">
                  <c:v>-1.1573643313171125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 val="autoZero"/>
        <c:auto val="1"/>
        <c:lblOffset val="100"/>
        <c:tickLblSkip val="2"/>
        <c:noMultiLvlLbl val="0"/>
      </c:cat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944"/>
        <c:crossesAt val="1"/>
        <c:crossBetween val="between"/>
        <c:dispUnits/>
      </c:valAx>
      <c:spPr>
        <a:pattFill prst="pct75">
          <a:fgClr>
            <a:srgbClr val="FF99CC"/>
          </a:fgClr>
          <a:bgClr>
            <a:srgbClr val="FF6600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"/>
          <c:y val="0.1815"/>
          <c:w val="0.8197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расчет!$A$73</c:f>
              <c:strCache>
                <c:ptCount val="1"/>
                <c:pt idx="0">
                  <c:v>(Y)B=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расчет!$B$72:$Z$72</c:f>
              <c:numCache>
                <c:ptCount val="25"/>
                <c:pt idx="0">
                  <c:v>2.8011515667169236</c:v>
                </c:pt>
                <c:pt idx="1">
                  <c:v>2.9161791703956923</c:v>
                </c:pt>
                <c:pt idx="2">
                  <c:v>2.856994174509632</c:v>
                </c:pt>
                <c:pt idx="3">
                  <c:v>2.667007632397353</c:v>
                </c:pt>
                <c:pt idx="4">
                  <c:v>2.426347718744728</c:v>
                </c:pt>
                <c:pt idx="5">
                  <c:v>2.173987648380659</c:v>
                </c:pt>
                <c:pt idx="6">
                  <c:v>1.9238506305379257</c:v>
                </c:pt>
                <c:pt idx="7">
                  <c:v>1.6845013062858647</c:v>
                </c:pt>
                <c:pt idx="8">
                  <c:v>1.4650943346450593</c:v>
                </c:pt>
                <c:pt idx="9">
                  <c:v>1.2755556893745619</c:v>
                </c:pt>
                <c:pt idx="10">
                  <c:v>1.1253523695202492</c:v>
                </c:pt>
                <c:pt idx="11">
                  <c:v>1.0221975148901836</c:v>
                </c:pt>
                <c:pt idx="12">
                  <c:v>0.9710464277004167</c:v>
                </c:pt>
                <c:pt idx="13">
                  <c:v>0.9734717307363727</c:v>
                </c:pt>
                <c:pt idx="14">
                  <c:v>1.0274376637938663</c:v>
                </c:pt>
                <c:pt idx="15">
                  <c:v>1.1274742568673288</c:v>
                </c:pt>
                <c:pt idx="16">
                  <c:v>1.2652452868286628</c:v>
                </c:pt>
                <c:pt idx="17">
                  <c:v>1.4305042337923137</c:v>
                </c:pt>
                <c:pt idx="18">
                  <c:v>1.6124426923245117</c:v>
                </c:pt>
                <c:pt idx="19">
                  <c:v>1.801455868383359</c:v>
                </c:pt>
                <c:pt idx="20">
                  <c:v>1.9913492490060647</c:v>
                </c:pt>
                <c:pt idx="21">
                  <c:v>2.181806008096153</c:v>
                </c:pt>
                <c:pt idx="22">
                  <c:v>2.3797055808217755</c:v>
                </c:pt>
                <c:pt idx="23">
                  <c:v>2.592964673167861</c:v>
                </c:pt>
                <c:pt idx="24">
                  <c:v>2.8011515667169236</c:v>
                </c:pt>
              </c:numCache>
            </c:numRef>
          </c:xVal>
          <c:yVal>
            <c:numRef>
              <c:f>расчет!$B$73:$Z$73</c:f>
              <c:numCache>
                <c:ptCount val="25"/>
                <c:pt idx="0">
                  <c:v>0.8865348894623628</c:v>
                </c:pt>
                <c:pt idx="1">
                  <c:v>0.6978904411357488</c:v>
                </c:pt>
                <c:pt idx="2">
                  <c:v>0.48872315904009966</c:v>
                </c:pt>
                <c:pt idx="3">
                  <c:v>0.3879210487098036</c:v>
                </c:pt>
                <c:pt idx="4">
                  <c:v>0.39458865389465714</c:v>
                </c:pt>
                <c:pt idx="5">
                  <c:v>0.4534573309038823</c:v>
                </c:pt>
                <c:pt idx="6">
                  <c:v>0.5188669069425276</c:v>
                </c:pt>
                <c:pt idx="7">
                  <c:v>0.5639501993394986</c:v>
                </c:pt>
                <c:pt idx="8">
                  <c:v>0.5759633878035523</c:v>
                </c:pt>
                <c:pt idx="9">
                  <c:v>0.5518578623300691</c:v>
                </c:pt>
                <c:pt idx="10">
                  <c:v>0.49537809136122213</c:v>
                </c:pt>
                <c:pt idx="11">
                  <c:v>0.4150423274010304</c:v>
                </c:pt>
                <c:pt idx="12">
                  <c:v>0.32251282191481356</c:v>
                </c:pt>
                <c:pt idx="13">
                  <c:v>0.23112350268295057</c:v>
                </c:pt>
                <c:pt idx="14">
                  <c:v>0.15448722543124793</c:v>
                </c:pt>
                <c:pt idx="15">
                  <c:v>0.10517987100513126</c:v>
                </c:pt>
                <c:pt idx="16">
                  <c:v>0.09352688414867583</c:v>
                </c:pt>
                <c:pt idx="17">
                  <c:v>0.1265136654265705</c:v>
                </c:pt>
                <c:pt idx="18">
                  <c:v>0.20680303638334363</c:v>
                </c:pt>
                <c:pt idx="19">
                  <c:v>0.3317494667009597</c:v>
                </c:pt>
                <c:pt idx="20">
                  <c:v>0.4920937256524104</c:v>
                </c:pt>
                <c:pt idx="21">
                  <c:v>0.6695969543125023</c:v>
                </c:pt>
                <c:pt idx="22">
                  <c:v>0.8322767523358661</c:v>
                </c:pt>
                <c:pt idx="23">
                  <c:v>0.9272425448418158</c:v>
                </c:pt>
                <c:pt idx="24">
                  <c:v>0.8865348894623626</c:v>
                </c:pt>
              </c:numCache>
            </c:numRef>
          </c:yVal>
          <c:smooth val="1"/>
        </c:ser>
        <c:axId val="1193002"/>
        <c:axId val="10737019"/>
      </c:scatterChart>
      <c:val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 val="autoZero"/>
        <c:crossBetween val="midCat"/>
        <c:dispUnits/>
      </c:valAx>
      <c:valAx>
        <c:axId val="10737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02"/>
        <c:crosses val="autoZero"/>
        <c:crossBetween val="midCat"/>
        <c:dispUnits/>
      </c:valAx>
      <c:spPr>
        <a:pattFill prst="dashUpDiag">
          <a:fgClr>
            <a:srgbClr val="FF00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5245"/>
          <c:w val="0.1322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9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расчет!$A$74</c:f>
              <c:strCache>
                <c:ptCount val="1"/>
                <c:pt idx="0">
                  <c:v>(X_t)B=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расчет!$B$74:$Z$74</c:f>
              <c:numCache>
                <c:ptCount val="25"/>
                <c:pt idx="0">
                  <c:v>0.6932451571231617</c:v>
                </c:pt>
                <c:pt idx="1">
                  <c:v>0.12082631404563132</c:v>
                </c:pt>
                <c:pt idx="2">
                  <c:v>-0.5347557674037937</c:v>
                </c:pt>
                <c:pt idx="3">
                  <c:v>-0.8616965381669447</c:v>
                </c:pt>
                <c:pt idx="4">
                  <c:v>-0.9563023816147779</c:v>
                </c:pt>
                <c:pt idx="5">
                  <c:v>-0.9679821389621917</c:v>
                </c:pt>
                <c:pt idx="6">
                  <c:v>-0.943970403139273</c:v>
                </c:pt>
                <c:pt idx="7">
                  <c:v>-0.8872009779624396</c:v>
                </c:pt>
                <c:pt idx="8">
                  <c:v>-0.7931330277592314</c:v>
                </c:pt>
                <c:pt idx="9">
                  <c:v>-0.6606223793056292</c:v>
                </c:pt>
                <c:pt idx="10">
                  <c:v>-0.4937361106971957</c:v>
                </c:pt>
                <c:pt idx="11">
                  <c:v>-0.30108243996276435</c:v>
                </c:pt>
                <c:pt idx="12">
                  <c:v>-0.09450851696822324</c:v>
                </c:pt>
                <c:pt idx="13">
                  <c:v>0.11236479323513199</c:v>
                </c:pt>
                <c:pt idx="14">
                  <c:v>0.30565423876286224</c:v>
                </c:pt>
                <c:pt idx="15">
                  <c:v>0.47273791054954917</c:v>
                </c:pt>
                <c:pt idx="16">
                  <c:v>0.6037854816054339</c:v>
                </c:pt>
                <c:pt idx="17">
                  <c:v>0.6933202484180203</c:v>
                </c:pt>
                <c:pt idx="18">
                  <c:v>0.7418841936138281</c:v>
                </c:pt>
                <c:pt idx="19">
                  <c:v>0.7578968146743605</c:v>
                </c:pt>
                <c:pt idx="20">
                  <c:v>0.759535939329265</c:v>
                </c:pt>
                <c:pt idx="21">
                  <c:v>0.7747239200977049</c:v>
                </c:pt>
                <c:pt idx="22">
                  <c:v>0.829407702904859</c:v>
                </c:pt>
                <c:pt idx="23">
                  <c:v>0.8906567829799882</c:v>
                </c:pt>
                <c:pt idx="24">
                  <c:v>0.7417358535070562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расчет!$A$75</c:f>
              <c:strCache>
                <c:ptCount val="1"/>
                <c:pt idx="0">
                  <c:v>(Y_t)B=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расчет!$B$75:$Z$75</c:f>
              <c:numCache>
                <c:ptCount val="25"/>
                <c:pt idx="0">
                  <c:v>-0.4731796615727917</c:v>
                </c:pt>
                <c:pt idx="1">
                  <c:v>-0.8742577665586442</c:v>
                </c:pt>
                <c:pt idx="2">
                  <c:v>-0.6308259100152206</c:v>
                </c:pt>
                <c:pt idx="3">
                  <c:v>-0.1486321805318882</c:v>
                </c:pt>
                <c:pt idx="4">
                  <c:v>0.16075030066891477</c:v>
                </c:pt>
                <c:pt idx="5">
                  <c:v>0.26069070520522253</c:v>
                </c:pt>
                <c:pt idx="6">
                  <c:v>0.22383141490573136</c:v>
                </c:pt>
                <c:pt idx="7">
                  <c:v>0.11424554412346827</c:v>
                </c:pt>
                <c:pt idx="8">
                  <c:v>-0.02378423712786576</c:v>
                </c:pt>
                <c:pt idx="9">
                  <c:v>-0.15951655807696863</c:v>
                </c:pt>
                <c:pt idx="10">
                  <c:v>-0.27105643283349146</c:v>
                </c:pt>
                <c:pt idx="11">
                  <c:v>-0.34312726665139337</c:v>
                </c:pt>
                <c:pt idx="12">
                  <c:v>-0.36618318800255634</c:v>
                </c:pt>
                <c:pt idx="13">
                  <c:v>-0.33606948695417227</c:v>
                </c:pt>
                <c:pt idx="14">
                  <c:v>-0.2538167446910051</c:v>
                </c:pt>
                <c:pt idx="15">
                  <c:v>-0.12538111396374574</c:v>
                </c:pt>
                <c:pt idx="16">
                  <c:v>0.03871628468502342</c:v>
                </c:pt>
                <c:pt idx="17">
                  <c:v>0.22377863885815685</c:v>
                </c:pt>
                <c:pt idx="18">
                  <c:v>0.41111661461498467</c:v>
                </c:pt>
                <c:pt idx="19">
                  <c:v>0.5774795442776653</c:v>
                </c:pt>
                <c:pt idx="20">
                  <c:v>0.6925314864483127</c:v>
                </c:pt>
                <c:pt idx="21">
                  <c:v>0.7120284830081905</c:v>
                </c:pt>
                <c:pt idx="22">
                  <c:v>0.5649093571097197</c:v>
                </c:pt>
                <c:pt idx="23">
                  <c:v>0.15389056996440886</c:v>
                </c:pt>
                <c:pt idx="24">
                  <c:v>-0.5062773486876593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2181"/>
        <c:crosses val="autoZero"/>
        <c:auto val="1"/>
        <c:lblOffset val="100"/>
        <c:tickLblSkip val="2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расчет!$A$76</c:f>
              <c:strCache>
                <c:ptCount val="1"/>
                <c:pt idx="0">
                  <c:v>(X_tt)B=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расчет!$B$76:$Z$76</c:f>
              <c:numCache>
                <c:ptCount val="25"/>
                <c:pt idx="0">
                  <c:v>-1.3406939709084216</c:v>
                </c:pt>
                <c:pt idx="1">
                  <c:v>-2.760569725158687</c:v>
                </c:pt>
                <c:pt idx="2">
                  <c:v>-1.9360149843287497</c:v>
                </c:pt>
                <c:pt idx="3">
                  <c:v>-0.6758010457152652</c:v>
                </c:pt>
                <c:pt idx="4">
                  <c:v>-0.14714267294066147</c:v>
                </c:pt>
                <c:pt idx="5">
                  <c:v>0.031908295189879844</c:v>
                </c:pt>
                <c:pt idx="6">
                  <c:v>0.1514947107102264</c:v>
                </c:pt>
                <c:pt idx="7">
                  <c:v>0.28687880534574023</c:v>
                </c:pt>
                <c:pt idx="8">
                  <c:v>0.4364560810762973</c:v>
                </c:pt>
                <c:pt idx="9">
                  <c:v>0.5810737493605825</c:v>
                </c:pt>
                <c:pt idx="10">
                  <c:v>0.7012524658076267</c:v>
                </c:pt>
                <c:pt idx="11">
                  <c:v>0.7816512653823336</c:v>
                </c:pt>
                <c:pt idx="12">
                  <c:v>0.8122242310725292</c:v>
                </c:pt>
                <c:pt idx="13">
                  <c:v>0.788579749763123</c:v>
                </c:pt>
                <c:pt idx="14">
                  <c:v>0.7121444895234785</c:v>
                </c:pt>
                <c:pt idx="15">
                  <c:v>0.5902810032400396</c:v>
                </c:pt>
                <c:pt idx="16">
                  <c:v>0.4364553766110215</c:v>
                </c:pt>
                <c:pt idx="17">
                  <c:v>0.270610793400419</c:v>
                </c:pt>
                <c:pt idx="18">
                  <c:v>0.11994111568728731</c:v>
                </c:pt>
                <c:pt idx="19">
                  <c:v>0.019909343928160052</c:v>
                </c:pt>
                <c:pt idx="20">
                  <c:v>0.01293236549733634</c:v>
                </c:pt>
                <c:pt idx="21">
                  <c:v>0.1304541025896646</c:v>
                </c:pt>
                <c:pt idx="22">
                  <c:v>0.3000692027053825</c:v>
                </c:pt>
                <c:pt idx="23">
                  <c:v>0.051750133253172126</c:v>
                </c:pt>
                <c:pt idx="24">
                  <c:v>-1.5181717336886313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расчет!$A$77</c:f>
              <c:strCache>
                <c:ptCount val="1"/>
                <c:pt idx="0">
                  <c:v>(Y_tt)B=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расчет!$B$77:$Z$77</c:f>
              <c:numCache>
                <c:ptCount val="25"/>
                <c:pt idx="0">
                  <c:v>-2.3888417102816724</c:v>
                </c:pt>
                <c:pt idx="1">
                  <c:v>-0.29683171377311435</c:v>
                </c:pt>
                <c:pt idx="2">
                  <c:v>1.7902029860642577</c:v>
                </c:pt>
                <c:pt idx="3">
                  <c:v>1.6223579030534283</c:v>
                </c:pt>
                <c:pt idx="4">
                  <c:v>0.7438446670832479</c:v>
                </c:pt>
                <c:pt idx="5">
                  <c:v>0.0730293104801828</c:v>
                </c:pt>
                <c:pt idx="6">
                  <c:v>-0.31459363203667545</c:v>
                </c:pt>
                <c:pt idx="7">
                  <c:v>-0.4986633026520077</c:v>
                </c:pt>
                <c:pt idx="8">
                  <c:v>-0.5431452298607214</c:v>
                </c:pt>
                <c:pt idx="9">
                  <c:v>-0.4885372926258163</c:v>
                </c:pt>
                <c:pt idx="10">
                  <c:v>-0.36284241000431416</c:v>
                </c:pt>
                <c:pt idx="11">
                  <c:v>-0.18883863974196385</c:v>
                </c:pt>
                <c:pt idx="12">
                  <c:v>0.012552263544578501</c:v>
                </c:pt>
                <c:pt idx="13">
                  <c:v>0.22109845713921514</c:v>
                </c:pt>
                <c:pt idx="14">
                  <c:v>0.41717352617660425</c:v>
                </c:pt>
                <c:pt idx="15">
                  <c:v>0.582102051521197</c:v>
                </c:pt>
                <c:pt idx="16">
                  <c:v>0.698473346515492</c:v>
                </c:pt>
                <c:pt idx="17">
                  <c:v>0.7499159566449174</c:v>
                </c:pt>
                <c:pt idx="18">
                  <c:v>0.7194722928628774</c:v>
                </c:pt>
                <c:pt idx="19">
                  <c:v>0.584766249216176</c:v>
                </c:pt>
                <c:pt idx="20">
                  <c:v>0.3061891394371813</c:v>
                </c:pt>
                <c:pt idx="21">
                  <c:v>-0.19687596745500305</c:v>
                </c:pt>
                <c:pt idx="22">
                  <c:v>-1.0633746886882327</c:v>
                </c:pt>
                <c:pt idx="23">
                  <c:v>-2.2965734359785888</c:v>
                </c:pt>
                <c:pt idx="24">
                  <c:v>-2.746072295604182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4143"/>
        <c:crosses val="autoZero"/>
        <c:auto val="1"/>
        <c:lblOffset val="100"/>
        <c:tickLblSkip val="2"/>
        <c:noMultiLvlLbl val="0"/>
      </c:catAx>
      <c:valAx>
        <c:axId val="4838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1"/>
          <c:h val="0.927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расчет!$A$73</c:f>
              <c:strCache>
                <c:ptCount val="1"/>
                <c:pt idx="0">
                  <c:v>(Y)B=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расчет!$B$73:$Z$73</c:f>
              <c:numCache>
                <c:ptCount val="25"/>
                <c:pt idx="0">
                  <c:v>0.8865348894623628</c:v>
                </c:pt>
                <c:pt idx="1">
                  <c:v>0.6978904411357488</c:v>
                </c:pt>
                <c:pt idx="2">
                  <c:v>0.48872315904009966</c:v>
                </c:pt>
                <c:pt idx="3">
                  <c:v>0.3879210487098036</c:v>
                </c:pt>
                <c:pt idx="4">
                  <c:v>0.39458865389465714</c:v>
                </c:pt>
                <c:pt idx="5">
                  <c:v>0.4534573309038823</c:v>
                </c:pt>
                <c:pt idx="6">
                  <c:v>0.5188669069425276</c:v>
                </c:pt>
                <c:pt idx="7">
                  <c:v>0.5639501993394986</c:v>
                </c:pt>
                <c:pt idx="8">
                  <c:v>0.5759633878035523</c:v>
                </c:pt>
                <c:pt idx="9">
                  <c:v>0.5518578623300691</c:v>
                </c:pt>
                <c:pt idx="10">
                  <c:v>0.49537809136122213</c:v>
                </c:pt>
                <c:pt idx="11">
                  <c:v>0.4150423274010304</c:v>
                </c:pt>
                <c:pt idx="12">
                  <c:v>0.32251282191481356</c:v>
                </c:pt>
                <c:pt idx="13">
                  <c:v>0.23112350268295057</c:v>
                </c:pt>
                <c:pt idx="14">
                  <c:v>0.15448722543124793</c:v>
                </c:pt>
                <c:pt idx="15">
                  <c:v>0.10517987100513126</c:v>
                </c:pt>
                <c:pt idx="16">
                  <c:v>0.09352688414867583</c:v>
                </c:pt>
                <c:pt idx="17">
                  <c:v>0.1265136654265705</c:v>
                </c:pt>
                <c:pt idx="18">
                  <c:v>0.20680303638334363</c:v>
                </c:pt>
                <c:pt idx="19">
                  <c:v>0.3317494667009597</c:v>
                </c:pt>
                <c:pt idx="20">
                  <c:v>0.4920937256524104</c:v>
                </c:pt>
                <c:pt idx="21">
                  <c:v>0.6695969543125023</c:v>
                </c:pt>
                <c:pt idx="22">
                  <c:v>0.8322767523358661</c:v>
                </c:pt>
                <c:pt idx="23">
                  <c:v>0.9272425448418158</c:v>
                </c:pt>
                <c:pt idx="24">
                  <c:v>0.8865348894623626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расчет!$A$75</c:f>
              <c:strCache>
                <c:ptCount val="1"/>
                <c:pt idx="0">
                  <c:v>(Y_t)B=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расчет!$B$75:$Z$75</c:f>
              <c:numCache>
                <c:ptCount val="25"/>
                <c:pt idx="0">
                  <c:v>-0.4731796615727917</c:v>
                </c:pt>
                <c:pt idx="1">
                  <c:v>-0.8742577665586442</c:v>
                </c:pt>
                <c:pt idx="2">
                  <c:v>-0.6308259100152206</c:v>
                </c:pt>
                <c:pt idx="3">
                  <c:v>-0.1486321805318882</c:v>
                </c:pt>
                <c:pt idx="4">
                  <c:v>0.16075030066891477</c:v>
                </c:pt>
                <c:pt idx="5">
                  <c:v>0.26069070520522253</c:v>
                </c:pt>
                <c:pt idx="6">
                  <c:v>0.22383141490573136</c:v>
                </c:pt>
                <c:pt idx="7">
                  <c:v>0.11424554412346827</c:v>
                </c:pt>
                <c:pt idx="8">
                  <c:v>-0.02378423712786576</c:v>
                </c:pt>
                <c:pt idx="9">
                  <c:v>-0.15951655807696863</c:v>
                </c:pt>
                <c:pt idx="10">
                  <c:v>-0.27105643283349146</c:v>
                </c:pt>
                <c:pt idx="11">
                  <c:v>-0.34312726665139337</c:v>
                </c:pt>
                <c:pt idx="12">
                  <c:v>-0.36618318800255634</c:v>
                </c:pt>
                <c:pt idx="13">
                  <c:v>-0.33606948695417227</c:v>
                </c:pt>
                <c:pt idx="14">
                  <c:v>-0.2538167446910051</c:v>
                </c:pt>
                <c:pt idx="15">
                  <c:v>-0.12538111396374574</c:v>
                </c:pt>
                <c:pt idx="16">
                  <c:v>0.03871628468502342</c:v>
                </c:pt>
                <c:pt idx="17">
                  <c:v>0.22377863885815685</c:v>
                </c:pt>
                <c:pt idx="18">
                  <c:v>0.41111661461498467</c:v>
                </c:pt>
                <c:pt idx="19">
                  <c:v>0.5774795442776653</c:v>
                </c:pt>
                <c:pt idx="20">
                  <c:v>0.6925314864483127</c:v>
                </c:pt>
                <c:pt idx="21">
                  <c:v>0.7120284830081905</c:v>
                </c:pt>
                <c:pt idx="22">
                  <c:v>0.5649093571097197</c:v>
                </c:pt>
                <c:pt idx="23">
                  <c:v>0.15389056996440886</c:v>
                </c:pt>
                <c:pt idx="24">
                  <c:v>-0.5062773486876593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расчет!$A$77</c:f>
              <c:strCache>
                <c:ptCount val="1"/>
                <c:pt idx="0">
                  <c:v>(Y_tt)B=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расчет!$B$77:$Z$77</c:f>
              <c:numCache>
                <c:ptCount val="25"/>
                <c:pt idx="0">
                  <c:v>-2.3888417102816724</c:v>
                </c:pt>
                <c:pt idx="1">
                  <c:v>-0.29683171377311435</c:v>
                </c:pt>
                <c:pt idx="2">
                  <c:v>1.7902029860642577</c:v>
                </c:pt>
                <c:pt idx="3">
                  <c:v>1.6223579030534283</c:v>
                </c:pt>
                <c:pt idx="4">
                  <c:v>0.7438446670832479</c:v>
                </c:pt>
                <c:pt idx="5">
                  <c:v>0.0730293104801828</c:v>
                </c:pt>
                <c:pt idx="6">
                  <c:v>-0.31459363203667545</c:v>
                </c:pt>
                <c:pt idx="7">
                  <c:v>-0.4986633026520077</c:v>
                </c:pt>
                <c:pt idx="8">
                  <c:v>-0.5431452298607214</c:v>
                </c:pt>
                <c:pt idx="9">
                  <c:v>-0.4885372926258163</c:v>
                </c:pt>
                <c:pt idx="10">
                  <c:v>-0.36284241000431416</c:v>
                </c:pt>
                <c:pt idx="11">
                  <c:v>-0.18883863974196385</c:v>
                </c:pt>
                <c:pt idx="12">
                  <c:v>0.012552263544578501</c:v>
                </c:pt>
                <c:pt idx="13">
                  <c:v>0.22109845713921514</c:v>
                </c:pt>
                <c:pt idx="14">
                  <c:v>0.41717352617660425</c:v>
                </c:pt>
                <c:pt idx="15">
                  <c:v>0.582102051521197</c:v>
                </c:pt>
                <c:pt idx="16">
                  <c:v>0.698473346515492</c:v>
                </c:pt>
                <c:pt idx="17">
                  <c:v>0.7499159566449174</c:v>
                </c:pt>
                <c:pt idx="18">
                  <c:v>0.7194722928628774</c:v>
                </c:pt>
                <c:pt idx="19">
                  <c:v>0.584766249216176</c:v>
                </c:pt>
                <c:pt idx="20">
                  <c:v>0.3061891394371813</c:v>
                </c:pt>
                <c:pt idx="21">
                  <c:v>-0.19687596745500305</c:v>
                </c:pt>
                <c:pt idx="22">
                  <c:v>-1.0633746886882327</c:v>
                </c:pt>
                <c:pt idx="23">
                  <c:v>-2.2965734359785888</c:v>
                </c:pt>
                <c:pt idx="24">
                  <c:v>-2.746072295604182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481"/>
        <c:crosses val="autoZero"/>
        <c:auto val="1"/>
        <c:lblOffset val="100"/>
        <c:tickLblSkip val="2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4104"/>
        <c:crossesAt val="1"/>
        <c:crossBetween val="between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3655"/>
          <c:w val="0.17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расчет!$A$72</c:f>
              <c:strCache>
                <c:ptCount val="1"/>
                <c:pt idx="0">
                  <c:v>(X)B=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расчет!$B$72:$Z$72</c:f>
              <c:numCache>
                <c:ptCount val="25"/>
                <c:pt idx="0">
                  <c:v>2.8011515667169236</c:v>
                </c:pt>
                <c:pt idx="1">
                  <c:v>2.9161791703956923</c:v>
                </c:pt>
                <c:pt idx="2">
                  <c:v>2.856994174509632</c:v>
                </c:pt>
                <c:pt idx="3">
                  <c:v>2.667007632397353</c:v>
                </c:pt>
                <c:pt idx="4">
                  <c:v>2.426347718744728</c:v>
                </c:pt>
                <c:pt idx="5">
                  <c:v>2.173987648380659</c:v>
                </c:pt>
                <c:pt idx="6">
                  <c:v>1.9238506305379257</c:v>
                </c:pt>
                <c:pt idx="7">
                  <c:v>1.6845013062858647</c:v>
                </c:pt>
                <c:pt idx="8">
                  <c:v>1.4650943346450593</c:v>
                </c:pt>
                <c:pt idx="9">
                  <c:v>1.2755556893745619</c:v>
                </c:pt>
                <c:pt idx="10">
                  <c:v>1.1253523695202492</c:v>
                </c:pt>
                <c:pt idx="11">
                  <c:v>1.0221975148901836</c:v>
                </c:pt>
                <c:pt idx="12">
                  <c:v>0.9710464277004167</c:v>
                </c:pt>
                <c:pt idx="13">
                  <c:v>0.9734717307363727</c:v>
                </c:pt>
                <c:pt idx="14">
                  <c:v>1.0274376637938663</c:v>
                </c:pt>
                <c:pt idx="15">
                  <c:v>1.1274742568673288</c:v>
                </c:pt>
                <c:pt idx="16">
                  <c:v>1.2652452868286628</c:v>
                </c:pt>
                <c:pt idx="17">
                  <c:v>1.4305042337923137</c:v>
                </c:pt>
                <c:pt idx="18">
                  <c:v>1.6124426923245117</c:v>
                </c:pt>
                <c:pt idx="19">
                  <c:v>1.801455868383359</c:v>
                </c:pt>
                <c:pt idx="20">
                  <c:v>1.9913492490060647</c:v>
                </c:pt>
                <c:pt idx="21">
                  <c:v>2.181806008096153</c:v>
                </c:pt>
                <c:pt idx="22">
                  <c:v>2.3797055808217755</c:v>
                </c:pt>
                <c:pt idx="23">
                  <c:v>2.592964673167861</c:v>
                </c:pt>
                <c:pt idx="24">
                  <c:v>2.8011515667169236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расчет!$A$74</c:f>
              <c:strCache>
                <c:ptCount val="1"/>
                <c:pt idx="0">
                  <c:v>(X_t)B=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расчет!$B$74:$Z$74</c:f>
              <c:numCache>
                <c:ptCount val="25"/>
                <c:pt idx="0">
                  <c:v>0.6932451571231617</c:v>
                </c:pt>
                <c:pt idx="1">
                  <c:v>0.12082631404563132</c:v>
                </c:pt>
                <c:pt idx="2">
                  <c:v>-0.5347557674037937</c:v>
                </c:pt>
                <c:pt idx="3">
                  <c:v>-0.8616965381669447</c:v>
                </c:pt>
                <c:pt idx="4">
                  <c:v>-0.9563023816147779</c:v>
                </c:pt>
                <c:pt idx="5">
                  <c:v>-0.9679821389621917</c:v>
                </c:pt>
                <c:pt idx="6">
                  <c:v>-0.943970403139273</c:v>
                </c:pt>
                <c:pt idx="7">
                  <c:v>-0.8872009779624396</c:v>
                </c:pt>
                <c:pt idx="8">
                  <c:v>-0.7931330277592314</c:v>
                </c:pt>
                <c:pt idx="9">
                  <c:v>-0.6606223793056292</c:v>
                </c:pt>
                <c:pt idx="10">
                  <c:v>-0.4937361106971957</c:v>
                </c:pt>
                <c:pt idx="11">
                  <c:v>-0.30108243996276435</c:v>
                </c:pt>
                <c:pt idx="12">
                  <c:v>-0.09450851696822324</c:v>
                </c:pt>
                <c:pt idx="13">
                  <c:v>0.11236479323513199</c:v>
                </c:pt>
                <c:pt idx="14">
                  <c:v>0.30565423876286224</c:v>
                </c:pt>
                <c:pt idx="15">
                  <c:v>0.47273791054954917</c:v>
                </c:pt>
                <c:pt idx="16">
                  <c:v>0.6037854816054339</c:v>
                </c:pt>
                <c:pt idx="17">
                  <c:v>0.6933202484180203</c:v>
                </c:pt>
                <c:pt idx="18">
                  <c:v>0.7418841936138281</c:v>
                </c:pt>
                <c:pt idx="19">
                  <c:v>0.7578968146743605</c:v>
                </c:pt>
                <c:pt idx="20">
                  <c:v>0.759535939329265</c:v>
                </c:pt>
                <c:pt idx="21">
                  <c:v>0.7747239200977049</c:v>
                </c:pt>
                <c:pt idx="22">
                  <c:v>0.829407702904859</c:v>
                </c:pt>
                <c:pt idx="23">
                  <c:v>0.8906567829799882</c:v>
                </c:pt>
                <c:pt idx="24">
                  <c:v>0.7417358535070562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расчет!$A$76</c:f>
              <c:strCache>
                <c:ptCount val="1"/>
                <c:pt idx="0">
                  <c:v>(X_tt)B=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расчет!$B$76:$Z$76</c:f>
              <c:numCache>
                <c:ptCount val="25"/>
                <c:pt idx="0">
                  <c:v>-1.3406939709084216</c:v>
                </c:pt>
                <c:pt idx="1">
                  <c:v>-2.760569725158687</c:v>
                </c:pt>
                <c:pt idx="2">
                  <c:v>-1.9360149843287497</c:v>
                </c:pt>
                <c:pt idx="3">
                  <c:v>-0.6758010457152652</c:v>
                </c:pt>
                <c:pt idx="4">
                  <c:v>-0.14714267294066147</c:v>
                </c:pt>
                <c:pt idx="5">
                  <c:v>0.031908295189879844</c:v>
                </c:pt>
                <c:pt idx="6">
                  <c:v>0.1514947107102264</c:v>
                </c:pt>
                <c:pt idx="7">
                  <c:v>0.28687880534574023</c:v>
                </c:pt>
                <c:pt idx="8">
                  <c:v>0.4364560810762973</c:v>
                </c:pt>
                <c:pt idx="9">
                  <c:v>0.5810737493605825</c:v>
                </c:pt>
                <c:pt idx="10">
                  <c:v>0.7012524658076267</c:v>
                </c:pt>
                <c:pt idx="11">
                  <c:v>0.7816512653823336</c:v>
                </c:pt>
                <c:pt idx="12">
                  <c:v>0.8122242310725292</c:v>
                </c:pt>
                <c:pt idx="13">
                  <c:v>0.788579749763123</c:v>
                </c:pt>
                <c:pt idx="14">
                  <c:v>0.7121444895234785</c:v>
                </c:pt>
                <c:pt idx="15">
                  <c:v>0.5902810032400396</c:v>
                </c:pt>
                <c:pt idx="16">
                  <c:v>0.4364553766110215</c:v>
                </c:pt>
                <c:pt idx="17">
                  <c:v>0.270610793400419</c:v>
                </c:pt>
                <c:pt idx="18">
                  <c:v>0.11994111568728731</c:v>
                </c:pt>
                <c:pt idx="19">
                  <c:v>0.019909343928160052</c:v>
                </c:pt>
                <c:pt idx="20">
                  <c:v>0.01293236549733634</c:v>
                </c:pt>
                <c:pt idx="21">
                  <c:v>0.1304541025896646</c:v>
                </c:pt>
                <c:pt idx="22">
                  <c:v>0.3000692027053825</c:v>
                </c:pt>
                <c:pt idx="23">
                  <c:v>0.051750133253172126</c:v>
                </c:pt>
                <c:pt idx="24">
                  <c:v>-1.5181717336886313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3"/>
        <c:crosses val="autoZero"/>
        <c:auto val="1"/>
        <c:lblOffset val="100"/>
        <c:tickLblSkip val="2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6738"/>
        <c:crossesAt val="1"/>
        <c:crossBetween val="between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3655"/>
          <c:w val="0.17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1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расчет!$A$73</c:f>
              <c:strCache>
                <c:ptCount val="1"/>
                <c:pt idx="0">
                  <c:v>(Y)B=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расчет!$B$73:$Z$73</c:f>
              <c:numCache>
                <c:ptCount val="25"/>
                <c:pt idx="0">
                  <c:v>0.8865348894623628</c:v>
                </c:pt>
                <c:pt idx="1">
                  <c:v>0.6978904411357488</c:v>
                </c:pt>
                <c:pt idx="2">
                  <c:v>0.48872315904009966</c:v>
                </c:pt>
                <c:pt idx="3">
                  <c:v>0.3879210487098036</c:v>
                </c:pt>
                <c:pt idx="4">
                  <c:v>0.39458865389465714</c:v>
                </c:pt>
                <c:pt idx="5">
                  <c:v>0.4534573309038823</c:v>
                </c:pt>
                <c:pt idx="6">
                  <c:v>0.5188669069425276</c:v>
                </c:pt>
                <c:pt idx="7">
                  <c:v>0.5639501993394986</c:v>
                </c:pt>
                <c:pt idx="8">
                  <c:v>0.5759633878035523</c:v>
                </c:pt>
                <c:pt idx="9">
                  <c:v>0.5518578623300691</c:v>
                </c:pt>
                <c:pt idx="10">
                  <c:v>0.49537809136122213</c:v>
                </c:pt>
                <c:pt idx="11">
                  <c:v>0.4150423274010304</c:v>
                </c:pt>
                <c:pt idx="12">
                  <c:v>0.32251282191481356</c:v>
                </c:pt>
                <c:pt idx="13">
                  <c:v>0.23112350268295057</c:v>
                </c:pt>
                <c:pt idx="14">
                  <c:v>0.15448722543124793</c:v>
                </c:pt>
                <c:pt idx="15">
                  <c:v>0.10517987100513126</c:v>
                </c:pt>
                <c:pt idx="16">
                  <c:v>0.09352688414867583</c:v>
                </c:pt>
                <c:pt idx="17">
                  <c:v>0.1265136654265705</c:v>
                </c:pt>
                <c:pt idx="18">
                  <c:v>0.20680303638334363</c:v>
                </c:pt>
                <c:pt idx="19">
                  <c:v>0.3317494667009597</c:v>
                </c:pt>
                <c:pt idx="20">
                  <c:v>0.4920937256524104</c:v>
                </c:pt>
                <c:pt idx="21">
                  <c:v>0.6695969543125023</c:v>
                </c:pt>
                <c:pt idx="22">
                  <c:v>0.8322767523358661</c:v>
                </c:pt>
                <c:pt idx="23">
                  <c:v>0.9272425448418158</c:v>
                </c:pt>
                <c:pt idx="24">
                  <c:v>0.8865348894623626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расчет!$A$75</c:f>
              <c:strCache>
                <c:ptCount val="1"/>
                <c:pt idx="0">
                  <c:v>(Y_t)B=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расчет!$B$75:$Z$75</c:f>
              <c:numCache>
                <c:ptCount val="25"/>
                <c:pt idx="0">
                  <c:v>-0.4731796615727917</c:v>
                </c:pt>
                <c:pt idx="1">
                  <c:v>-0.8742577665586442</c:v>
                </c:pt>
                <c:pt idx="2">
                  <c:v>-0.6308259100152206</c:v>
                </c:pt>
                <c:pt idx="3">
                  <c:v>-0.1486321805318882</c:v>
                </c:pt>
                <c:pt idx="4">
                  <c:v>0.16075030066891477</c:v>
                </c:pt>
                <c:pt idx="5">
                  <c:v>0.26069070520522253</c:v>
                </c:pt>
                <c:pt idx="6">
                  <c:v>0.22383141490573136</c:v>
                </c:pt>
                <c:pt idx="7">
                  <c:v>0.11424554412346827</c:v>
                </c:pt>
                <c:pt idx="8">
                  <c:v>-0.02378423712786576</c:v>
                </c:pt>
                <c:pt idx="9">
                  <c:v>-0.15951655807696863</c:v>
                </c:pt>
                <c:pt idx="10">
                  <c:v>-0.27105643283349146</c:v>
                </c:pt>
                <c:pt idx="11">
                  <c:v>-0.34312726665139337</c:v>
                </c:pt>
                <c:pt idx="12">
                  <c:v>-0.36618318800255634</c:v>
                </c:pt>
                <c:pt idx="13">
                  <c:v>-0.33606948695417227</c:v>
                </c:pt>
                <c:pt idx="14">
                  <c:v>-0.2538167446910051</c:v>
                </c:pt>
                <c:pt idx="15">
                  <c:v>-0.12538111396374574</c:v>
                </c:pt>
                <c:pt idx="16">
                  <c:v>0.03871628468502342</c:v>
                </c:pt>
                <c:pt idx="17">
                  <c:v>0.22377863885815685</c:v>
                </c:pt>
                <c:pt idx="18">
                  <c:v>0.41111661461498467</c:v>
                </c:pt>
                <c:pt idx="19">
                  <c:v>0.5774795442776653</c:v>
                </c:pt>
                <c:pt idx="20">
                  <c:v>0.6925314864483127</c:v>
                </c:pt>
                <c:pt idx="21">
                  <c:v>0.7120284830081905</c:v>
                </c:pt>
                <c:pt idx="22">
                  <c:v>0.5649093571097197</c:v>
                </c:pt>
                <c:pt idx="23">
                  <c:v>0.15389056996440886</c:v>
                </c:pt>
                <c:pt idx="24">
                  <c:v>-0.5062773486876593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расчет!$A$77</c:f>
              <c:strCache>
                <c:ptCount val="1"/>
                <c:pt idx="0">
                  <c:v>(Y_tt)B=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расчет!$B$77:$Z$77</c:f>
              <c:numCache>
                <c:ptCount val="25"/>
                <c:pt idx="0">
                  <c:v>-2.3888417102816724</c:v>
                </c:pt>
                <c:pt idx="1">
                  <c:v>-0.29683171377311435</c:v>
                </c:pt>
                <c:pt idx="2">
                  <c:v>1.7902029860642577</c:v>
                </c:pt>
                <c:pt idx="3">
                  <c:v>1.6223579030534283</c:v>
                </c:pt>
                <c:pt idx="4">
                  <c:v>0.7438446670832479</c:v>
                </c:pt>
                <c:pt idx="5">
                  <c:v>0.0730293104801828</c:v>
                </c:pt>
                <c:pt idx="6">
                  <c:v>-0.31459363203667545</c:v>
                </c:pt>
                <c:pt idx="7">
                  <c:v>-0.4986633026520077</c:v>
                </c:pt>
                <c:pt idx="8">
                  <c:v>-0.5431452298607214</c:v>
                </c:pt>
                <c:pt idx="9">
                  <c:v>-0.4885372926258163</c:v>
                </c:pt>
                <c:pt idx="10">
                  <c:v>-0.36284241000431416</c:v>
                </c:pt>
                <c:pt idx="11">
                  <c:v>-0.18883863974196385</c:v>
                </c:pt>
                <c:pt idx="12">
                  <c:v>0.012552263544578501</c:v>
                </c:pt>
                <c:pt idx="13">
                  <c:v>0.22109845713921514</c:v>
                </c:pt>
                <c:pt idx="14">
                  <c:v>0.41717352617660425</c:v>
                </c:pt>
                <c:pt idx="15">
                  <c:v>0.582102051521197</c:v>
                </c:pt>
                <c:pt idx="16">
                  <c:v>0.698473346515492</c:v>
                </c:pt>
                <c:pt idx="17">
                  <c:v>0.7499159566449174</c:v>
                </c:pt>
                <c:pt idx="18">
                  <c:v>0.7194722928628774</c:v>
                </c:pt>
                <c:pt idx="19">
                  <c:v>0.584766249216176</c:v>
                </c:pt>
                <c:pt idx="20">
                  <c:v>0.3061891394371813</c:v>
                </c:pt>
                <c:pt idx="21">
                  <c:v>-0.19687596745500305</c:v>
                </c:pt>
                <c:pt idx="22">
                  <c:v>-1.0633746886882327</c:v>
                </c:pt>
                <c:pt idx="23">
                  <c:v>-2.2965734359785888</c:v>
                </c:pt>
                <c:pt idx="24">
                  <c:v>-2.746072295604182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981"/>
        <c:crosses val="autoZero"/>
        <c:auto val="1"/>
        <c:lblOffset val="100"/>
        <c:tickLblSkip val="2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3655"/>
          <c:w val="0.17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5075"/>
          <c:w val="0.859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расчет!$A$61</c:f>
              <c:strCache>
                <c:ptCount val="1"/>
                <c:pt idx="0">
                  <c:v>Ltek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расчет!$B$61:$Z$61</c:f>
              <c:numCache>
                <c:ptCount val="25"/>
                <c:pt idx="0">
                  <c:v>1.1104759398281223</c:v>
                </c:pt>
                <c:pt idx="1">
                  <c:v>1.062692740367471</c:v>
                </c:pt>
                <c:pt idx="2">
                  <c:v>1.1429316349990037</c:v>
                </c:pt>
                <c:pt idx="3">
                  <c:v>1.3236414612066818</c:v>
                </c:pt>
                <c:pt idx="4">
                  <c:v>1.5608144706771705</c:v>
                </c:pt>
                <c:pt idx="5">
                  <c:v>1.8198946923724275</c:v>
                </c:pt>
                <c:pt idx="6">
                  <c:v>2.078451810986423</c:v>
                </c:pt>
                <c:pt idx="7">
                  <c:v>2.321914668399698</c:v>
                </c:pt>
                <c:pt idx="8">
                  <c:v>2.5402726229556745</c:v>
                </c:pt>
                <c:pt idx="9">
                  <c:v>2.726298008453149</c:v>
                </c:pt>
                <c:pt idx="10">
                  <c:v>2.8746598421919844</c:v>
                </c:pt>
                <c:pt idx="11">
                  <c:v>2.9814863758709875</c:v>
                </c:pt>
                <c:pt idx="12">
                  <c:v>3.044149008682533</c:v>
                </c:pt>
                <c:pt idx="13">
                  <c:v>3.0611573202908526</c:v>
                </c:pt>
                <c:pt idx="14">
                  <c:v>3.0321126756303936</c:v>
                </c:pt>
                <c:pt idx="15">
                  <c:v>2.9576972938714743</c:v>
                </c:pt>
                <c:pt idx="16">
                  <c:v>2.839693326421842</c:v>
                </c:pt>
                <c:pt idx="17">
                  <c:v>2.6810414597082732</c:v>
                </c:pt>
                <c:pt idx="18">
                  <c:v>2.4859682358001396</c:v>
                </c:pt>
                <c:pt idx="19">
                  <c:v>2.260246064628877</c:v>
                </c:pt>
                <c:pt idx="20">
                  <c:v>2.0117194140987693</c:v>
                </c:pt>
                <c:pt idx="21">
                  <c:v>1.7513706544031145</c:v>
                </c:pt>
                <c:pt idx="22">
                  <c:v>1.4954366558596708</c:v>
                </c:pt>
                <c:pt idx="23">
                  <c:v>1.2691489236869256</c:v>
                </c:pt>
                <c:pt idx="24">
                  <c:v>1.1104759398281223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расчет!$A$67</c:f>
              <c:strCache>
                <c:ptCount val="1"/>
                <c:pt idx="0">
                  <c:v>(Ltek)t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расчет!$B$67:$Z$67</c:f>
              <c:numCache>
                <c:ptCount val="25"/>
                <c:pt idx="0">
                  <c:v>-0.4187565151349461</c:v>
                </c:pt>
                <c:pt idx="1">
                  <c:v>0.06647628329559387</c:v>
                </c:pt>
                <c:pt idx="2">
                  <c:v>0.5264094119135159</c:v>
                </c:pt>
                <c:pt idx="3">
                  <c:v>0.8251535196723288</c:v>
                </c:pt>
                <c:pt idx="4">
                  <c:v>0.9669313218646729</c:v>
                </c:pt>
                <c:pt idx="5">
                  <c:v>1.0024700528796164</c:v>
                </c:pt>
                <c:pt idx="6">
                  <c:v>0.9700956103986832</c:v>
                </c:pt>
                <c:pt idx="7">
                  <c:v>0.8922140030375454</c:v>
                </c:pt>
                <c:pt idx="8">
                  <c:v>0.7819100964044832</c:v>
                </c:pt>
                <c:pt idx="9">
                  <c:v>0.6475467796660211</c:v>
                </c:pt>
                <c:pt idx="10">
                  <c:v>0.49516154335691576</c:v>
                </c:pt>
                <c:pt idx="11">
                  <c:v>0.32965353361257027</c:v>
                </c:pt>
                <c:pt idx="12">
                  <c:v>0.15537791589028596</c:v>
                </c:pt>
                <c:pt idx="13">
                  <c:v>-0.023544529864432992</c:v>
                </c:pt>
                <c:pt idx="14">
                  <c:v>-0.2030503817854164</c:v>
                </c:pt>
                <c:pt idx="15">
                  <c:v>-0.3790059880541514</c:v>
                </c:pt>
                <c:pt idx="16">
                  <c:v>-0.547070391974688</c:v>
                </c:pt>
                <c:pt idx="17">
                  <c:v>-0.7024847061264401</c:v>
                </c:pt>
                <c:pt idx="18">
                  <c:v>-0.839686122920323</c:v>
                </c:pt>
                <c:pt idx="19">
                  <c:v>-0.9515502436960401</c:v>
                </c:pt>
                <c:pt idx="20">
                  <c:v>-1.0278585692736883</c:v>
                </c:pt>
                <c:pt idx="21">
                  <c:v>-1.0521981014086068</c:v>
                </c:pt>
                <c:pt idx="22">
                  <c:v>-0.9961821165794206</c:v>
                </c:pt>
                <c:pt idx="23">
                  <c:v>-0.8125822431009462</c:v>
                </c:pt>
                <c:pt idx="24">
                  <c:v>-0.44804744465034585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расчет!$A$68</c:f>
              <c:strCache>
                <c:ptCount val="1"/>
                <c:pt idx="0">
                  <c:v>(Ltek)tt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расчет!$B$68:$Z$68</c:f>
              <c:numCache>
                <c:ptCount val="25"/>
                <c:pt idx="0">
                  <c:v>-0.1833522467291572</c:v>
                </c:pt>
                <c:pt idx="1">
                  <c:v>-0.16984858219513138</c:v>
                </c:pt>
                <c:pt idx="2">
                  <c:v>-0.625924009200811</c:v>
                </c:pt>
                <c:pt idx="3">
                  <c:v>-1.1816607314353067</c:v>
                </c:pt>
                <c:pt idx="4">
                  <c:v>-1.5442697375320624</c:v>
                </c:pt>
                <c:pt idx="5">
                  <c:v>-1.6886570589579617</c:v>
                </c:pt>
                <c:pt idx="6">
                  <c:v>-1.6740121177180756</c:v>
                </c:pt>
                <c:pt idx="7">
                  <c:v>-1.558272880913409</c:v>
                </c:pt>
                <c:pt idx="8">
                  <c:v>-1.3858428090199744</c:v>
                </c:pt>
                <c:pt idx="9">
                  <c:v>-1.19055992313491</c:v>
                </c:pt>
                <c:pt idx="10">
                  <c:v>-0.9988294574288277</c:v>
                </c:pt>
                <c:pt idx="11">
                  <c:v>-0.8312004586952697</c:v>
                </c:pt>
                <c:pt idx="12">
                  <c:v>-0.7028889769746843</c:v>
                </c:pt>
                <c:pt idx="13">
                  <c:v>-0.6237907534713466</c:v>
                </c:pt>
                <c:pt idx="14">
                  <c:v>-0.5983214615509599</c:v>
                </c:pt>
                <c:pt idx="15">
                  <c:v>-0.6252612553401684</c:v>
                </c:pt>
                <c:pt idx="16">
                  <c:v>-0.6976651499599913</c:v>
                </c:pt>
                <c:pt idx="17">
                  <c:v>-0.8028009472977857</c:v>
                </c:pt>
                <c:pt idx="18">
                  <c:v>-0.9219636335626072</c:v>
                </c:pt>
                <c:pt idx="19">
                  <c:v>-1.0298738768669435</c:v>
                </c:pt>
                <c:pt idx="20">
                  <c:v>-1.0932722280639784</c:v>
                </c:pt>
                <c:pt idx="21">
                  <c:v>-1.0688780987533917</c:v>
                </c:pt>
                <c:pt idx="22">
                  <c:v>-0.9053415761788146</c:v>
                </c:pt>
                <c:pt idx="23">
                  <c:v>-0.574435684790773</c:v>
                </c:pt>
                <c:pt idx="24">
                  <c:v>-0.1987176298078346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pPr>
        <a:pattFill prst="trellis">
          <a:fgClr>
            <a:srgbClr val="FF99CC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38125"/>
          <c:w val="0.117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4575"/>
          <c:w val="0.871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расчет!$A$56</c:f>
              <c:strCache>
                <c:ptCount val="1"/>
                <c:pt idx="0">
                  <c:v>psi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расчет!$B$56:$Z$56</c:f>
              <c:numCache>
                <c:ptCount val="25"/>
                <c:pt idx="0">
                  <c:v>0.4495288514602932</c:v>
                </c:pt>
                <c:pt idx="1">
                  <c:v>0.21272733855446838</c:v>
                </c:pt>
                <c:pt idx="2">
                  <c:v>-0.013157837598222373</c:v>
                </c:pt>
                <c:pt idx="3">
                  <c:v>-0.16647728859330346</c:v>
                </c:pt>
                <c:pt idx="4">
                  <c:v>-0.2423818451538175</c:v>
                </c:pt>
                <c:pt idx="5">
                  <c:v>-0.2613854582361625</c:v>
                </c:pt>
                <c:pt idx="6">
                  <c:v>-0.24287104103747495</c:v>
                </c:pt>
                <c:pt idx="7">
                  <c:v>-0.19998614127154227</c:v>
                </c:pt>
                <c:pt idx="8">
                  <c:v>-0.14106938466003285</c:v>
                </c:pt>
                <c:pt idx="9">
                  <c:v>-0.07146106003449239</c:v>
                </c:pt>
                <c:pt idx="10">
                  <c:v>0.005284260149831194</c:v>
                </c:pt>
                <c:pt idx="11">
                  <c:v>0.08666867653328522</c:v>
                </c:pt>
                <c:pt idx="12">
                  <c:v>0.17081202652699276</c:v>
                </c:pt>
                <c:pt idx="13">
                  <c:v>0.25617312959502586</c:v>
                </c:pt>
                <c:pt idx="14">
                  <c:v>0.3413533359841715</c:v>
                </c:pt>
                <c:pt idx="15">
                  <c:v>0.4249331036686123</c:v>
                </c:pt>
                <c:pt idx="16">
                  <c:v>0.5053037995945304</c:v>
                </c:pt>
                <c:pt idx="17">
                  <c:v>0.5804552694219295</c:v>
                </c:pt>
                <c:pt idx="18">
                  <c:v>0.6476643276694226</c:v>
                </c:pt>
                <c:pt idx="19">
                  <c:v>0.7029951107311975</c:v>
                </c:pt>
                <c:pt idx="20">
                  <c:v>0.7404640335104209</c:v>
                </c:pt>
                <c:pt idx="21">
                  <c:v>0.7506683915524142</c:v>
                </c:pt>
                <c:pt idx="22">
                  <c:v>0.7188812625535093</c:v>
                </c:pt>
                <c:pt idx="23">
                  <c:v>0.6243650330190302</c:v>
                </c:pt>
                <c:pt idx="24">
                  <c:v>0.4495288514602934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расчет!$A$62</c:f>
              <c:strCache>
                <c:ptCount val="1"/>
                <c:pt idx="0">
                  <c:v>(psi)t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расчет!$B$62:$Z$62</c:f>
              <c:numCache>
                <c:ptCount val="25"/>
                <c:pt idx="0">
                  <c:v>-0.8177561709524601</c:v>
                </c:pt>
                <c:pt idx="1">
                  <c:v>-0.9389242699395525</c:v>
                </c:pt>
                <c:pt idx="2">
                  <c:v>-0.7441732262345512</c:v>
                </c:pt>
                <c:pt idx="3">
                  <c:v>-0.42783296827083994</c:v>
                </c:pt>
                <c:pt idx="4">
                  <c:v>-0.1673006014107597</c:v>
                </c:pt>
                <c:pt idx="5">
                  <c:v>0.009386864245670574</c:v>
                </c:pt>
                <c:pt idx="6">
                  <c:v>0.1243248739593005</c:v>
                </c:pt>
                <c:pt idx="7">
                  <c:v>0.199677201675669</c:v>
                </c:pt>
                <c:pt idx="8">
                  <c:v>0.24999235399955796</c:v>
                </c:pt>
                <c:pt idx="9">
                  <c:v>0.28401294571023084</c:v>
                </c:pt>
                <c:pt idx="10">
                  <c:v>0.30691203319463106</c:v>
                </c:pt>
                <c:pt idx="11">
                  <c:v>0.3217340827008994</c:v>
                </c:pt>
                <c:pt idx="12">
                  <c:v>0.3302108596746034</c:v>
                </c:pt>
                <c:pt idx="13">
                  <c:v>0.333196094329743</c:v>
                </c:pt>
                <c:pt idx="14">
                  <c:v>0.330868692562088</c:v>
                </c:pt>
                <c:pt idx="15">
                  <c:v>0.32277564591557245</c:v>
                </c:pt>
                <c:pt idx="16">
                  <c:v>0.3077297482468988</c:v>
                </c:pt>
                <c:pt idx="17">
                  <c:v>0.28352673070866513</c:v>
                </c:pt>
                <c:pt idx="18">
                  <c:v>0.24638245941102252</c:v>
                </c:pt>
                <c:pt idx="19">
                  <c:v>0.1898973234358112</c:v>
                </c:pt>
                <c:pt idx="20">
                  <c:v>0.10325896735063714</c:v>
                </c:pt>
                <c:pt idx="21">
                  <c:v>-0.03137931651504884</c:v>
                </c:pt>
                <c:pt idx="22">
                  <c:v>-0.2399743187116203</c:v>
                </c:pt>
                <c:pt idx="23">
                  <c:v>-0.5415677802589511</c:v>
                </c:pt>
                <c:pt idx="24">
                  <c:v>-0.8749560890395428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расчет!$A$66</c:f>
              <c:strCache>
                <c:ptCount val="1"/>
                <c:pt idx="0">
                  <c:v>(psi)tt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расчет!$B$66:$Z$66</c:f>
              <c:numCache>
                <c:ptCount val="25"/>
                <c:pt idx="0">
                  <c:v>-0.9938423015829271</c:v>
                </c:pt>
                <c:pt idx="1">
                  <c:v>0.1790836425094866</c:v>
                </c:pt>
                <c:pt idx="2">
                  <c:v>1.1447107886943497</c:v>
                </c:pt>
                <c:pt idx="3">
                  <c:v>1.1560227790977513</c:v>
                </c:pt>
                <c:pt idx="4">
                  <c:v>0.8270957181521358</c:v>
                </c:pt>
                <c:pt idx="5">
                  <c:v>0.5419858680777849</c:v>
                </c:pt>
                <c:pt idx="6">
                  <c:v>0.35325806540442567</c:v>
                </c:pt>
                <c:pt idx="7">
                  <c:v>0.2343008948086663</c:v>
                </c:pt>
                <c:pt idx="8">
                  <c:v>0.1581425054779776</c:v>
                </c:pt>
                <c:pt idx="9">
                  <c:v>0.10736401561016459</c:v>
                </c:pt>
                <c:pt idx="10">
                  <c:v>0.07157165820373687</c:v>
                </c:pt>
                <c:pt idx="11">
                  <c:v>0.044491910993998</c:v>
                </c:pt>
                <c:pt idx="12">
                  <c:v>0.022103604291614745</c:v>
                </c:pt>
                <c:pt idx="13">
                  <c:v>0.00152407041113585</c:v>
                </c:pt>
                <c:pt idx="14">
                  <c:v>-0.019705449236427988</c:v>
                </c:pt>
                <c:pt idx="15">
                  <c:v>-0.04418579433177949</c:v>
                </c:pt>
                <c:pt idx="16">
                  <c:v>-0.07527425933649862</c:v>
                </c:pt>
                <c:pt idx="17">
                  <c:v>-0.11796478052058695</c:v>
                </c:pt>
                <c:pt idx="18">
                  <c:v>-0.1803498066218997</c:v>
                </c:pt>
                <c:pt idx="19">
                  <c:v>-0.27611711875981493</c:v>
                </c:pt>
                <c:pt idx="20">
                  <c:v>-0.42830014053607435</c:v>
                </c:pt>
                <c:pt idx="21">
                  <c:v>-0.6713369328443232</c:v>
                </c:pt>
                <c:pt idx="22">
                  <c:v>-1.0300538011798617</c:v>
                </c:pt>
                <c:pt idx="23">
                  <c:v>-1.3866090051720925</c:v>
                </c:pt>
                <c:pt idx="24">
                  <c:v>-1.1573643313171125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pattFill prst="trellis">
          <a:fgClr>
            <a:srgbClr val="FF99CC"/>
          </a:fgClr>
          <a:bgClr>
            <a:srgbClr val="FF8080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8975"/>
          <c:w val="0.10575"/>
          <c:h val="0.21725"/>
        </c:manualLayout>
      </c:layout>
      <c:overlay val="0"/>
      <c:spPr>
        <a:pattFill prst="solidDmnd">
          <a:fgClr>
            <a:srgbClr val="FFFFFF"/>
          </a:fgClr>
          <a:bgClr>
            <a:srgbClr val="CC99FF"/>
          </a:bgClr>
        </a:patt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535"/>
          <c:w val="0.7925"/>
          <c:h val="0.81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расчет!$A$41</c:f>
              <c:strCache>
                <c:ptCount val="1"/>
                <c:pt idx="0">
                  <c:v>(X_t)C1=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расчет!$B$41:$Z$41</c:f>
              <c:numCache>
                <c:ptCount val="25"/>
                <c:pt idx="0">
                  <c:v>-4</c:v>
                </c:pt>
                <c:pt idx="1">
                  <c:v>-4.122522350258794</c:v>
                </c:pt>
                <c:pt idx="2">
                  <c:v>-3.965139414513772</c:v>
                </c:pt>
                <c:pt idx="3">
                  <c:v>-3.5383102232525854</c:v>
                </c:pt>
                <c:pt idx="4">
                  <c:v>-2.870525186982319</c:v>
                </c:pt>
                <c:pt idx="5">
                  <c:v>-2.0064363486855465</c:v>
                </c:pt>
                <c:pt idx="6">
                  <c:v>-1.0039211810692852</c:v>
                </c:pt>
                <c:pt idx="7">
                  <c:v>0.06973079921170422</c:v>
                </c:pt>
                <c:pt idx="8">
                  <c:v>1.1422621807321667</c:v>
                </c:pt>
                <c:pt idx="9">
                  <c:v>2.14123453253468</c:v>
                </c:pt>
                <c:pt idx="10">
                  <c:v>2.9988465765887913</c:v>
                </c:pt>
                <c:pt idx="11">
                  <c:v>3.6564686445598698</c:v>
                </c:pt>
                <c:pt idx="12">
                  <c:v>4.068594989278455</c:v>
                </c:pt>
                <c:pt idx="13">
                  <c:v>4.205951376457545</c:v>
                </c:pt>
                <c:pt idx="14">
                  <c:v>4.057548399048338</c:v>
                </c:pt>
                <c:pt idx="15">
                  <c:v>3.6315379251419326</c:v>
                </c:pt>
                <c:pt idx="16">
                  <c:v>2.9548068841873927</c:v>
                </c:pt>
                <c:pt idx="17">
                  <c:v>2.0713244156840402</c:v>
                </c:pt>
                <c:pt idx="18">
                  <c:v>1.0393400650267584</c:v>
                </c:pt>
                <c:pt idx="19">
                  <c:v>-0.07239303747695724</c:v>
                </c:pt>
                <c:pt idx="20">
                  <c:v>-1.1891302228186242</c:v>
                </c:pt>
                <c:pt idx="21">
                  <c:v>-2.2350917055251633</c:v>
                </c:pt>
                <c:pt idx="22">
                  <c:v>-3.138539799553591</c:v>
                </c:pt>
                <c:pt idx="23">
                  <c:v>-3.836641344443904</c:v>
                </c:pt>
                <c:pt idx="24">
                  <c:v>-4.279789600464699</c:v>
                </c:pt>
              </c:numCache>
            </c:numRef>
          </c:xVal>
          <c:yVal>
            <c:numRef>
              <c:f>расчет!$B$41:$Z$41</c:f>
              <c:numCache>
                <c:ptCount val="25"/>
                <c:pt idx="0">
                  <c:v>-4</c:v>
                </c:pt>
                <c:pt idx="1">
                  <c:v>-4.122522350258794</c:v>
                </c:pt>
                <c:pt idx="2">
                  <c:v>-3.965139414513772</c:v>
                </c:pt>
                <c:pt idx="3">
                  <c:v>-3.5383102232525854</c:v>
                </c:pt>
                <c:pt idx="4">
                  <c:v>-2.870525186982319</c:v>
                </c:pt>
                <c:pt idx="5">
                  <c:v>-2.0064363486855465</c:v>
                </c:pt>
                <c:pt idx="6">
                  <c:v>-1.0039211810692852</c:v>
                </c:pt>
                <c:pt idx="7">
                  <c:v>0.06973079921170422</c:v>
                </c:pt>
                <c:pt idx="8">
                  <c:v>1.1422621807321667</c:v>
                </c:pt>
                <c:pt idx="9">
                  <c:v>2.14123453253468</c:v>
                </c:pt>
                <c:pt idx="10">
                  <c:v>2.9988465765887913</c:v>
                </c:pt>
                <c:pt idx="11">
                  <c:v>3.6564686445598698</c:v>
                </c:pt>
                <c:pt idx="12">
                  <c:v>4.068594989278455</c:v>
                </c:pt>
                <c:pt idx="13">
                  <c:v>4.205951376457545</c:v>
                </c:pt>
                <c:pt idx="14">
                  <c:v>4.057548399048338</c:v>
                </c:pt>
                <c:pt idx="15">
                  <c:v>3.6315379251419326</c:v>
                </c:pt>
                <c:pt idx="16">
                  <c:v>2.9548068841873927</c:v>
                </c:pt>
                <c:pt idx="17">
                  <c:v>2.0713244156840402</c:v>
                </c:pt>
                <c:pt idx="18">
                  <c:v>1.0393400650267584</c:v>
                </c:pt>
                <c:pt idx="19">
                  <c:v>-0.07239303747695724</c:v>
                </c:pt>
                <c:pt idx="20">
                  <c:v>-1.1891302228186242</c:v>
                </c:pt>
                <c:pt idx="21">
                  <c:v>-2.2350917055251633</c:v>
                </c:pt>
                <c:pt idx="22">
                  <c:v>-3.138539799553591</c:v>
                </c:pt>
                <c:pt idx="23">
                  <c:v>-3.836641344443904</c:v>
                </c:pt>
                <c:pt idx="24">
                  <c:v>-4.279789600464699</c:v>
                </c:pt>
              </c:numCache>
            </c:numRef>
          </c:yVal>
          <c:smooth val="1"/>
        </c:ser>
        <c:axId val="50216186"/>
        <c:axId val="49292491"/>
      </c:scatterChart>
      <c:val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 val="autoZero"/>
        <c:crossBetween val="midCat"/>
        <c:dispUnits/>
      </c:val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 val="autoZero"/>
        <c:crossBetween val="midCat"/>
        <c:dispUnits/>
      </c:valAx>
      <c:spPr>
        <a:pattFill prst="pct5">
          <a:fgClr>
            <a:srgbClr val="FF00FF"/>
          </a:fgClr>
          <a:bgClr>
            <a:srgbClr val="CC99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215"/>
          <c:w val="0.161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расчет!$A$246:$A$256</c:f>
              <c:strCache/>
            </c:strRef>
          </c:cat>
          <c:val>
            <c:numRef>
              <c:f>расчет!$B$246:$B$256</c:f>
              <c:numCache/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pattFill prst="diagBrick">
      <a:fgClr>
        <a:srgbClr val="FF00FF"/>
      </a:fgClr>
      <a:bgClr>
        <a:srgbClr val="FF99CC"/>
      </a:bgClr>
    </a:pattFill>
    <a:ln w="3175">
      <a:solid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53"/>
          <c:w val="0.81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расчет!$A$82</c:f>
              <c:strCache>
                <c:ptCount val="1"/>
                <c:pt idx="0">
                  <c:v>(X)C2=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расчет!$B$82:$Z$82</c:f>
              <c:numCache>
                <c:ptCount val="25"/>
                <c:pt idx="0">
                  <c:v>2.1</c:v>
                </c:pt>
                <c:pt idx="1">
                  <c:v>3.082293850632423</c:v>
                </c:pt>
                <c:pt idx="2">
                  <c:v>3.8424484306852285</c:v>
                </c:pt>
                <c:pt idx="3">
                  <c:v>4.182520898244329</c:v>
                </c:pt>
                <c:pt idx="4">
                  <c:v>4.191866676625299</c:v>
                </c:pt>
                <c:pt idx="5">
                  <c:v>4.000562224379344</c:v>
                </c:pt>
                <c:pt idx="6">
                  <c:v>3.6909493879019295</c:v>
                </c:pt>
                <c:pt idx="7">
                  <c:v>3.3115446907229087</c:v>
                </c:pt>
                <c:pt idx="8">
                  <c:v>2.8948994820660006</c:v>
                </c:pt>
                <c:pt idx="9">
                  <c:v>2.465990444009299</c:v>
                </c:pt>
                <c:pt idx="10">
                  <c:v>2.045237956963842</c:v>
                </c:pt>
                <c:pt idx="11">
                  <c:v>1.6492991885125468</c:v>
                </c:pt>
                <c:pt idx="12">
                  <c:v>1.2910973585479222</c:v>
                </c:pt>
                <c:pt idx="13">
                  <c:v>0.9797248932159686</c:v>
                </c:pt>
                <c:pt idx="14">
                  <c:v>0.7205110535620753</c:v>
                </c:pt>
                <c:pt idx="15">
                  <c:v>0.5154016764246027</c:v>
                </c:pt>
                <c:pt idx="16">
                  <c:v>0.36374767261792207</c:v>
                </c:pt>
                <c:pt idx="17">
                  <c:v>0.2636059801683583</c:v>
                </c:pt>
                <c:pt idx="18">
                  <c:v>0.21372858829635366</c:v>
                </c:pt>
                <c:pt idx="19">
                  <c:v>0.21659076115008014</c:v>
                </c:pt>
                <c:pt idx="20">
                  <c:v>0.28314676847346787</c:v>
                </c:pt>
                <c:pt idx="21">
                  <c:v>0.4404218446518453</c:v>
                </c:pt>
                <c:pt idx="22">
                  <c:v>0.7422658610014783</c:v>
                </c:pt>
                <c:pt idx="23">
                  <c:v>1.2739513674066694</c:v>
                </c:pt>
                <c:pt idx="24">
                  <c:v>2.1</c:v>
                </c:pt>
              </c:numCache>
            </c:numRef>
          </c:xVal>
          <c:yVal>
            <c:numRef>
              <c:f>расчет!$B$82:$Z$82</c:f>
              <c:numCache>
                <c:ptCount val="25"/>
                <c:pt idx="0">
                  <c:v>2.1</c:v>
                </c:pt>
                <c:pt idx="1">
                  <c:v>3.082293850632423</c:v>
                </c:pt>
                <c:pt idx="2">
                  <c:v>3.8424484306852285</c:v>
                </c:pt>
                <c:pt idx="3">
                  <c:v>4.182520898244329</c:v>
                </c:pt>
                <c:pt idx="4">
                  <c:v>4.191866676625299</c:v>
                </c:pt>
                <c:pt idx="5">
                  <c:v>4.000562224379344</c:v>
                </c:pt>
                <c:pt idx="6">
                  <c:v>3.6909493879019295</c:v>
                </c:pt>
                <c:pt idx="7">
                  <c:v>3.3115446907229087</c:v>
                </c:pt>
                <c:pt idx="8">
                  <c:v>2.8948994820660006</c:v>
                </c:pt>
                <c:pt idx="9">
                  <c:v>2.465990444009299</c:v>
                </c:pt>
                <c:pt idx="10">
                  <c:v>2.045237956963842</c:v>
                </c:pt>
                <c:pt idx="11">
                  <c:v>1.6492991885125468</c:v>
                </c:pt>
                <c:pt idx="12">
                  <c:v>1.2910973585479222</c:v>
                </c:pt>
                <c:pt idx="13">
                  <c:v>0.9797248932159686</c:v>
                </c:pt>
                <c:pt idx="14">
                  <c:v>0.7205110535620753</c:v>
                </c:pt>
                <c:pt idx="15">
                  <c:v>0.5154016764246027</c:v>
                </c:pt>
                <c:pt idx="16">
                  <c:v>0.36374767261792207</c:v>
                </c:pt>
                <c:pt idx="17">
                  <c:v>0.2636059801683583</c:v>
                </c:pt>
                <c:pt idx="18">
                  <c:v>0.21372858829635366</c:v>
                </c:pt>
                <c:pt idx="19">
                  <c:v>0.21659076115008014</c:v>
                </c:pt>
                <c:pt idx="20">
                  <c:v>0.28314676847346787</c:v>
                </c:pt>
                <c:pt idx="21">
                  <c:v>0.4404218446518453</c:v>
                </c:pt>
                <c:pt idx="22">
                  <c:v>0.7422658610014783</c:v>
                </c:pt>
                <c:pt idx="23">
                  <c:v>1.2739513674066694</c:v>
                </c:pt>
                <c:pt idx="24">
                  <c:v>2.1</c:v>
                </c:pt>
              </c:numCache>
            </c:numRef>
          </c:yVal>
          <c:smooth val="1"/>
        </c:ser>
        <c:axId val="40979236"/>
        <c:axId val="33268805"/>
      </c:scatterChart>
      <c:val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 val="autoZero"/>
        <c:crossBetween val="midCat"/>
        <c:dispUnits/>
      </c:val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 val="autoZero"/>
        <c:crossBetween val="midCat"/>
        <c:dispUnits/>
      </c:valAx>
      <c:spPr>
        <a:pattFill prst="openDmnd">
          <a:fgClr>
            <a:srgbClr val="C0C0C0"/>
          </a:fgClr>
          <a:bgClr>
            <a:srgbClr val="FF99CC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875"/>
          <c:w val="0.142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535"/>
          <c:w val="0.82325"/>
          <c:h val="0.81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расчет!$A$123</c:f>
              <c:strCache>
                <c:ptCount val="1"/>
                <c:pt idx="0">
                  <c:v>(Y)D=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расчет!$B$122:$Z$122</c:f>
              <c:numCache>
                <c:ptCount val="25"/>
                <c:pt idx="0">
                  <c:v>2.877338089850433</c:v>
                </c:pt>
                <c:pt idx="1">
                  <c:v>2.6946917905036707</c:v>
                </c:pt>
                <c:pt idx="2">
                  <c:v>2.4857749515274423</c:v>
                </c:pt>
                <c:pt idx="3">
                  <c:v>2.4023696503274317</c:v>
                </c:pt>
                <c:pt idx="4">
                  <c:v>2.4194857438926296</c:v>
                </c:pt>
                <c:pt idx="5">
                  <c:v>2.4615109051737623</c:v>
                </c:pt>
                <c:pt idx="6">
                  <c:v>2.4858567111070555</c:v>
                </c:pt>
                <c:pt idx="7">
                  <c:v>2.4778351039286064</c:v>
                </c:pt>
                <c:pt idx="8">
                  <c:v>2.437568505983152</c:v>
                </c:pt>
                <c:pt idx="9">
                  <c:v>2.3724471811181136</c:v>
                </c:pt>
                <c:pt idx="10">
                  <c:v>2.292917281741013</c:v>
                </c:pt>
                <c:pt idx="11">
                  <c:v>2.2099628744169277</c:v>
                </c:pt>
                <c:pt idx="12">
                  <c:v>2.1336626583823337</c:v>
                </c:pt>
                <c:pt idx="13">
                  <c:v>2.072554074086799</c:v>
                </c:pt>
                <c:pt idx="14">
                  <c:v>2.033571344033928</c:v>
                </c:pt>
                <c:pt idx="15">
                  <c:v>2.0222771271239184</c:v>
                </c:pt>
                <c:pt idx="16">
                  <c:v>2.0430798710230738</c:v>
                </c:pt>
                <c:pt idx="17">
                  <c:v>2.099140187411662</c:v>
                </c:pt>
                <c:pt idx="18">
                  <c:v>2.191730083498908</c:v>
                </c:pt>
                <c:pt idx="19">
                  <c:v>2.3189577174340323</c:v>
                </c:pt>
                <c:pt idx="20">
                  <c:v>2.473978716499593</c:v>
                </c:pt>
                <c:pt idx="21">
                  <c:v>2.642726776545226</c:v>
                </c:pt>
                <c:pt idx="22">
                  <c:v>2.800047147863332</c:v>
                </c:pt>
                <c:pt idx="23">
                  <c:v>2.9013782737768583</c:v>
                </c:pt>
                <c:pt idx="24">
                  <c:v>2.877338089850433</c:v>
                </c:pt>
              </c:numCache>
            </c:numRef>
          </c:xVal>
          <c:yVal>
            <c:numRef>
              <c:f>расчет!$B$123:$Z$123</c:f>
              <c:numCache>
                <c:ptCount val="25"/>
                <c:pt idx="0">
                  <c:v>3.8855673357177922</c:v>
                </c:pt>
                <c:pt idx="1">
                  <c:v>3.689703159296524</c:v>
                </c:pt>
                <c:pt idx="2">
                  <c:v>3.4656672781811526</c:v>
                </c:pt>
                <c:pt idx="3">
                  <c:v>3.3762260429240754</c:v>
                </c:pt>
                <c:pt idx="4">
                  <c:v>3.394580806101247</c:v>
                </c:pt>
                <c:pt idx="5">
                  <c:v>3.439647274092876</c:v>
                </c:pt>
                <c:pt idx="6">
                  <c:v>3.465754954596073</c:v>
                </c:pt>
                <c:pt idx="7">
                  <c:v>3.4571528340537947</c:v>
                </c:pt>
                <c:pt idx="8">
                  <c:v>3.413972194357945</c:v>
                </c:pt>
                <c:pt idx="9">
                  <c:v>3.3441381232173253</c:v>
                </c:pt>
                <c:pt idx="10">
                  <c:v>3.2588527476139117</c:v>
                </c:pt>
                <c:pt idx="11">
                  <c:v>3.16989503684092</c:v>
                </c:pt>
                <c:pt idx="12">
                  <c:v>3.088073072597299</c:v>
                </c:pt>
                <c:pt idx="13">
                  <c:v>3.022542138884861</c:v>
                </c:pt>
                <c:pt idx="14">
                  <c:v>2.9807382789448225</c:v>
                </c:pt>
                <c:pt idx="15">
                  <c:v>2.9686267141262968</c:v>
                </c:pt>
                <c:pt idx="16">
                  <c:v>2.9909349257664086</c:v>
                </c:pt>
                <c:pt idx="17">
                  <c:v>3.051052254935614</c:v>
                </c:pt>
                <c:pt idx="18">
                  <c:v>3.1503427623640143</c:v>
                </c:pt>
                <c:pt idx="19">
                  <c:v>3.2867776960465163</c:v>
                </c:pt>
                <c:pt idx="20">
                  <c:v>3.453017364841188</c:v>
                </c:pt>
                <c:pt idx="21">
                  <c:v>3.633977504311493</c:v>
                </c:pt>
                <c:pt idx="22">
                  <c:v>3.8026829479624924</c:v>
                </c:pt>
                <c:pt idx="23">
                  <c:v>3.9113472767437294</c:v>
                </c:pt>
                <c:pt idx="24">
                  <c:v>3.8855673357177922</c:v>
                </c:pt>
              </c:numCache>
            </c:numRef>
          </c:yVal>
          <c:smooth val="1"/>
        </c:ser>
        <c:axId val="30983790"/>
        <c:axId val="10418655"/>
      </c:scatterChart>
      <c:val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 val="autoZero"/>
        <c:crossBetween val="midCat"/>
        <c:dispUnits/>
      </c:val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 val="autoZero"/>
        <c:crossBetween val="midCat"/>
        <c:dispUnits/>
      </c:valAx>
      <c:spPr>
        <a:pattFill prst="shingle">
          <a:fgClr>
            <a:srgbClr val="FFFFFF"/>
          </a:fgClr>
          <a:bgClr>
            <a:srgbClr val="FF99CC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8925"/>
          <c:w val="0.131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17075"/>
          <c:w val="0.8005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расчет!$A$132</c:f>
              <c:strCache>
                <c:ptCount val="1"/>
                <c:pt idx="0">
                  <c:v>(Y)C3=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расчет!$B$132:$AA$132</c:f>
              <c:numCache>
                <c:ptCount val="26"/>
                <c:pt idx="0">
                  <c:v>1.5</c:v>
                </c:pt>
                <c:pt idx="1">
                  <c:v>0.9559851652976878</c:v>
                </c:pt>
                <c:pt idx="2">
                  <c:v>0.4128778987339633</c:v>
                </c:pt>
                <c:pt idx="3">
                  <c:v>0.04507649159693328</c:v>
                </c:pt>
                <c:pt idx="4">
                  <c:v>-0.1335928219343041</c:v>
                </c:pt>
                <c:pt idx="5">
                  <c:v>-0.17779354623694532</c:v>
                </c:pt>
                <c:pt idx="6">
                  <c:v>-0.13473358613207664</c:v>
                </c:pt>
                <c:pt idx="7">
                  <c:v>-0.03418327720431369</c:v>
                </c:pt>
                <c:pt idx="8">
                  <c:v>0.10552004664975945</c:v>
                </c:pt>
                <c:pt idx="9">
                  <c:v>0.27230117864836345</c:v>
                </c:pt>
                <c:pt idx="10">
                  <c:v>0.457428560718911</c:v>
                </c:pt>
                <c:pt idx="11">
                  <c:v>0.6539962728594321</c:v>
                </c:pt>
                <c:pt idx="12">
                  <c:v>0.8561403778591383</c:v>
                </c:pt>
                <c:pt idx="13">
                  <c:v>1.0586280005368192</c:v>
                </c:pt>
                <c:pt idx="14">
                  <c:v>1.256632476795212</c:v>
                </c:pt>
                <c:pt idx="15">
                  <c:v>1.445592350249917</c:v>
                </c:pt>
                <c:pt idx="16">
                  <c:v>1.6210862572415559</c:v>
                </c:pt>
                <c:pt idx="17">
                  <c:v>1.7786572855660958</c:v>
                </c:pt>
                <c:pt idx="18">
                  <c:v>1.9134868817014374</c:v>
                </c:pt>
                <c:pt idx="19">
                  <c:v>2.0197231658750234</c:v>
                </c:pt>
                <c:pt idx="20">
                  <c:v>2.089042150429503</c:v>
                </c:pt>
                <c:pt idx="21">
                  <c:v>2.107538161119557</c:v>
                </c:pt>
                <c:pt idx="22">
                  <c:v>2.0493793841996917</c:v>
                </c:pt>
                <c:pt idx="23">
                  <c:v>1.8674380493763414</c:v>
                </c:pt>
                <c:pt idx="24">
                  <c:v>1.5</c:v>
                </c:pt>
              </c:numCache>
            </c:numRef>
          </c:xVal>
          <c:yVal>
            <c:numRef>
              <c:f>расчет!$B$132:$AA$132</c:f>
              <c:numCache>
                <c:ptCount val="26"/>
                <c:pt idx="0">
                  <c:v>1.5</c:v>
                </c:pt>
                <c:pt idx="1">
                  <c:v>0.9559851652976878</c:v>
                </c:pt>
                <c:pt idx="2">
                  <c:v>0.4128778987339633</c:v>
                </c:pt>
                <c:pt idx="3">
                  <c:v>0.04507649159693328</c:v>
                </c:pt>
                <c:pt idx="4">
                  <c:v>-0.1335928219343041</c:v>
                </c:pt>
                <c:pt idx="5">
                  <c:v>-0.17779354623694532</c:v>
                </c:pt>
                <c:pt idx="6">
                  <c:v>-0.13473358613207664</c:v>
                </c:pt>
                <c:pt idx="7">
                  <c:v>-0.03418327720431369</c:v>
                </c:pt>
                <c:pt idx="8">
                  <c:v>0.10552004664975945</c:v>
                </c:pt>
                <c:pt idx="9">
                  <c:v>0.27230117864836345</c:v>
                </c:pt>
                <c:pt idx="10">
                  <c:v>0.457428560718911</c:v>
                </c:pt>
                <c:pt idx="11">
                  <c:v>0.6539962728594321</c:v>
                </c:pt>
                <c:pt idx="12">
                  <c:v>0.8561403778591383</c:v>
                </c:pt>
                <c:pt idx="13">
                  <c:v>1.0586280005368192</c:v>
                </c:pt>
                <c:pt idx="14">
                  <c:v>1.256632476795212</c:v>
                </c:pt>
                <c:pt idx="15">
                  <c:v>1.445592350249917</c:v>
                </c:pt>
                <c:pt idx="16">
                  <c:v>1.6210862572415559</c:v>
                </c:pt>
                <c:pt idx="17">
                  <c:v>1.7786572855660958</c:v>
                </c:pt>
                <c:pt idx="18">
                  <c:v>1.9134868817014374</c:v>
                </c:pt>
                <c:pt idx="19">
                  <c:v>2.0197231658750234</c:v>
                </c:pt>
                <c:pt idx="20">
                  <c:v>2.089042150429503</c:v>
                </c:pt>
                <c:pt idx="21">
                  <c:v>2.107538161119557</c:v>
                </c:pt>
                <c:pt idx="22">
                  <c:v>2.0493793841996917</c:v>
                </c:pt>
                <c:pt idx="23">
                  <c:v>1.8674380493763414</c:v>
                </c:pt>
                <c:pt idx="24">
                  <c:v>1.5</c:v>
                </c:pt>
              </c:numCache>
            </c:numRef>
          </c:yVal>
          <c:smooth val="1"/>
        </c:ser>
        <c:axId val="26659032"/>
        <c:axId val="38604697"/>
      </c:scatterChart>
      <c:val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 val="autoZero"/>
        <c:crossBetween val="midCat"/>
        <c:dispUnits/>
      </c:valAx>
      <c:valAx>
        <c:axId val="3860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 val="autoZero"/>
        <c:crossBetween val="midCat"/>
        <c:dispUnits/>
      </c:valAx>
      <c:spPr>
        <a:pattFill prst="zigZag">
          <a:fgClr>
            <a:srgbClr val="FFFFFF"/>
          </a:fgClr>
          <a:bgClr>
            <a:srgbClr val="FF99CC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52025"/>
          <c:w val="0.150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134"/>
          <c:w val="0.80375"/>
          <c:h val="0.8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расчет!$A$164</c:f>
              <c:strCache>
                <c:ptCount val="1"/>
                <c:pt idx="0">
                  <c:v>(Y)C5=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расчет!$B$164:$AA$164</c:f>
              <c:numCache>
                <c:ptCount val="26"/>
                <c:pt idx="0">
                  <c:v>1.2000000000000002</c:v>
                </c:pt>
                <c:pt idx="1">
                  <c:v>1.004135823578732</c:v>
                </c:pt>
                <c:pt idx="2">
                  <c:v>0.7800999424633606</c:v>
                </c:pt>
                <c:pt idx="3">
                  <c:v>0.6906587072062833</c:v>
                </c:pt>
                <c:pt idx="4">
                  <c:v>0.709013470383455</c:v>
                </c:pt>
                <c:pt idx="5">
                  <c:v>0.7540799383750838</c:v>
                </c:pt>
                <c:pt idx="6">
                  <c:v>0.7801876188782808</c:v>
                </c:pt>
                <c:pt idx="7">
                  <c:v>0.7715854983360027</c:v>
                </c:pt>
                <c:pt idx="8">
                  <c:v>0.728404858640153</c:v>
                </c:pt>
                <c:pt idx="9">
                  <c:v>0.6585707874995332</c:v>
                </c:pt>
                <c:pt idx="10">
                  <c:v>0.5732854118961197</c:v>
                </c:pt>
                <c:pt idx="11">
                  <c:v>0.48432770112312795</c:v>
                </c:pt>
                <c:pt idx="12">
                  <c:v>0.40250573687950686</c:v>
                </c:pt>
                <c:pt idx="13">
                  <c:v>0.33697480316706896</c:v>
                </c:pt>
                <c:pt idx="14">
                  <c:v>0.2951709432270304</c:v>
                </c:pt>
                <c:pt idx="15">
                  <c:v>0.2830593784085047</c:v>
                </c:pt>
                <c:pt idx="16">
                  <c:v>0.3053675900486166</c:v>
                </c:pt>
                <c:pt idx="17">
                  <c:v>0.3654849192178218</c:v>
                </c:pt>
                <c:pt idx="18">
                  <c:v>0.4647754266462223</c:v>
                </c:pt>
                <c:pt idx="19">
                  <c:v>0.6012103603287242</c:v>
                </c:pt>
                <c:pt idx="20">
                  <c:v>0.7674500291233959</c:v>
                </c:pt>
                <c:pt idx="21">
                  <c:v>0.9484101685937008</c:v>
                </c:pt>
                <c:pt idx="22">
                  <c:v>1.1171156122447004</c:v>
                </c:pt>
                <c:pt idx="23">
                  <c:v>1.2257799410259373</c:v>
                </c:pt>
                <c:pt idx="24">
                  <c:v>1.2000000000000002</c:v>
                </c:pt>
              </c:numCache>
            </c:numRef>
          </c:xVal>
          <c:yVal>
            <c:numRef>
              <c:f>расчет!$B$164:$AA$164</c:f>
              <c:numCache>
                <c:ptCount val="26"/>
                <c:pt idx="0">
                  <c:v>1.2000000000000002</c:v>
                </c:pt>
                <c:pt idx="1">
                  <c:v>1.004135823578732</c:v>
                </c:pt>
                <c:pt idx="2">
                  <c:v>0.7800999424633606</c:v>
                </c:pt>
                <c:pt idx="3">
                  <c:v>0.6906587072062833</c:v>
                </c:pt>
                <c:pt idx="4">
                  <c:v>0.709013470383455</c:v>
                </c:pt>
                <c:pt idx="5">
                  <c:v>0.7540799383750838</c:v>
                </c:pt>
                <c:pt idx="6">
                  <c:v>0.7801876188782808</c:v>
                </c:pt>
                <c:pt idx="7">
                  <c:v>0.7715854983360027</c:v>
                </c:pt>
                <c:pt idx="8">
                  <c:v>0.728404858640153</c:v>
                </c:pt>
                <c:pt idx="9">
                  <c:v>0.6585707874995332</c:v>
                </c:pt>
                <c:pt idx="10">
                  <c:v>0.5732854118961197</c:v>
                </c:pt>
                <c:pt idx="11">
                  <c:v>0.48432770112312795</c:v>
                </c:pt>
                <c:pt idx="12">
                  <c:v>0.40250573687950686</c:v>
                </c:pt>
                <c:pt idx="13">
                  <c:v>0.33697480316706896</c:v>
                </c:pt>
                <c:pt idx="14">
                  <c:v>0.2951709432270304</c:v>
                </c:pt>
                <c:pt idx="15">
                  <c:v>0.2830593784085047</c:v>
                </c:pt>
                <c:pt idx="16">
                  <c:v>0.3053675900486166</c:v>
                </c:pt>
                <c:pt idx="17">
                  <c:v>0.3654849192178218</c:v>
                </c:pt>
                <c:pt idx="18">
                  <c:v>0.4647754266462223</c:v>
                </c:pt>
                <c:pt idx="19">
                  <c:v>0.6012103603287242</c:v>
                </c:pt>
                <c:pt idx="20">
                  <c:v>0.7674500291233959</c:v>
                </c:pt>
                <c:pt idx="21">
                  <c:v>0.9484101685937008</c:v>
                </c:pt>
                <c:pt idx="22">
                  <c:v>1.1171156122447004</c:v>
                </c:pt>
                <c:pt idx="23">
                  <c:v>1.2257799410259373</c:v>
                </c:pt>
                <c:pt idx="24">
                  <c:v>1.2000000000000002</c:v>
                </c:pt>
              </c:numCache>
            </c:numRef>
          </c:yVal>
          <c:smooth val="1"/>
        </c:ser>
        <c:axId val="11897954"/>
        <c:axId val="39972723"/>
      </c:scatterChart>
      <c:val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 val="autoZero"/>
        <c:crossBetween val="midCat"/>
        <c:dispUnits/>
      </c:valAx>
      <c:valAx>
        <c:axId val="39972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954"/>
        <c:crosses val="autoZero"/>
        <c:crossBetween val="midCat"/>
        <c:dispUnits/>
      </c:valAx>
      <c:spPr>
        <a:pattFill prst="lgConfetti">
          <a:fgClr>
            <a:srgbClr val="FFFFFF"/>
          </a:fgClr>
          <a:bgClr>
            <a:srgbClr val="FF99CC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94"/>
          <c:w val="0.14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25"/>
          <c:y val="0.03"/>
          <c:w val="0.83025"/>
          <c:h val="0.98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расчет!$B$31:$Z$31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0.8571673007021124</c:v>
                </c:pt>
                <c:pt idx="3">
                  <c:v>0.6946583704589974</c:v>
                </c:pt>
                <c:pt idx="4">
                  <c:v>0.48480962024633717</c:v>
                </c:pt>
                <c:pt idx="5">
                  <c:v>0.24192189559966773</c:v>
                </c:pt>
                <c:pt idx="6">
                  <c:v>-0.01745240643728345</c:v>
                </c:pt>
                <c:pt idx="7">
                  <c:v>-0.27563735581699933</c:v>
                </c:pt>
                <c:pt idx="8">
                  <c:v>-0.515038074910054</c:v>
                </c:pt>
                <c:pt idx="9">
                  <c:v>-0.7193398003386511</c:v>
                </c:pt>
                <c:pt idx="10">
                  <c:v>-0.8746197071393959</c:v>
                </c:pt>
                <c:pt idx="11">
                  <c:v>-0.9702957262759965</c:v>
                </c:pt>
                <c:pt idx="12">
                  <c:v>-0.9998476951563913</c:v>
                </c:pt>
                <c:pt idx="13">
                  <c:v>-0.9612616959383189</c:v>
                </c:pt>
                <c:pt idx="14">
                  <c:v>-0.8571673007021123</c:v>
                </c:pt>
                <c:pt idx="15">
                  <c:v>-0.6946583704589975</c:v>
                </c:pt>
                <c:pt idx="16">
                  <c:v>-0.4848096202463375</c:v>
                </c:pt>
                <c:pt idx="17">
                  <c:v>-0.24192189559966762</c:v>
                </c:pt>
                <c:pt idx="18">
                  <c:v>0.017452406437283328</c:v>
                </c:pt>
                <c:pt idx="19">
                  <c:v>0.2756373558169988</c:v>
                </c:pt>
                <c:pt idx="20">
                  <c:v>0.5150380749100544</c:v>
                </c:pt>
                <c:pt idx="21">
                  <c:v>0.719339800338651</c:v>
                </c:pt>
                <c:pt idx="22">
                  <c:v>0.8746197071393956</c:v>
                </c:pt>
                <c:pt idx="23">
                  <c:v>0.9702957262759966</c:v>
                </c:pt>
                <c:pt idx="24">
                  <c:v>0.9998476951563913</c:v>
                </c:pt>
              </c:numCache>
            </c:numRef>
          </c:xVal>
          <c:yVal>
            <c:numRef>
              <c:f>расчет!$B$32:$Z$32</c:f>
              <c:numCache>
                <c:ptCount val="25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0.8571673007021124</c:v>
                </c:pt>
                <c:pt idx="9">
                  <c:v>0.6946583704589974</c:v>
                </c:pt>
                <c:pt idx="10">
                  <c:v>0.484809620246337</c:v>
                </c:pt>
                <c:pt idx="11">
                  <c:v>0.241921895599668</c:v>
                </c:pt>
                <c:pt idx="12">
                  <c:v>-0.01745240643728339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-0.7193398003386511</c:v>
                </c:pt>
                <c:pt idx="16">
                  <c:v>-0.8746197071393956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-0.961261695938319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-0.4848096202463375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yVal>
          <c:smooth val="1"/>
        </c:ser>
        <c:axId val="64549722"/>
        <c:axId val="44076587"/>
      </c:scatterChart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6587"/>
        <c:crosses val="autoZero"/>
        <c:crossBetween val="midCat"/>
        <c:dispUnits/>
      </c:val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 val="autoZero"/>
        <c:crossBetween val="midCat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515"/>
          <c:w val="0.14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83025"/>
          <c:h val="0.98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расчет!$B$33:$Z$33</c:f>
              <c:numCache>
                <c:ptCount val="25"/>
                <c:pt idx="0">
                  <c:v>-0.01745240643728351</c:v>
                </c:pt>
                <c:pt idx="1">
                  <c:v>-0.2756373558169992</c:v>
                </c:pt>
                <c:pt idx="2">
                  <c:v>-0.5151729115627589</c:v>
                </c:pt>
                <c:pt idx="3">
                  <c:v>-0.7199046699169586</c:v>
                </c:pt>
                <c:pt idx="4">
                  <c:v>-0.8759928977110927</c:v>
                </c:pt>
                <c:pt idx="5">
                  <c:v>-0.9728336308164999</c:v>
                </c:pt>
                <c:pt idx="6">
                  <c:v>-1.0037682790108067</c:v>
                </c:pt>
                <c:pt idx="7">
                  <c:v>-0.9665350257968641</c:v>
                </c:pt>
                <c:pt idx="8">
                  <c:v>-0.8634318558986291</c:v>
                </c:pt>
                <c:pt idx="9">
                  <c:v>-0.7011795722682439</c:v>
                </c:pt>
                <c:pt idx="10">
                  <c:v>-0.4904925197395676</c:v>
                </c:pt>
                <c:pt idx="11">
                  <c:v>-0.2453836966403694</c:v>
                </c:pt>
                <c:pt idx="12">
                  <c:v>0.017751693345395562</c:v>
                </c:pt>
                <c:pt idx="13">
                  <c:v>0.2812155320465028</c:v>
                </c:pt>
                <c:pt idx="14">
                  <c:v>0.5271791995240283</c:v>
                </c:pt>
                <c:pt idx="15">
                  <c:v>0.738872780037634</c:v>
                </c:pt>
                <c:pt idx="16">
                  <c:v>0.9017129884086054</c:v>
                </c:pt>
                <c:pt idx="17">
                  <c:v>1.0042950294580089</c:v>
                </c:pt>
                <c:pt idx="18">
                  <c:v>1.0391817685006974</c:v>
                </c:pt>
                <c:pt idx="19">
                  <c:v>1.003436173632186</c:v>
                </c:pt>
                <c:pt idx="20">
                  <c:v>0.8988592395970938</c:v>
                </c:pt>
                <c:pt idx="21">
                  <c:v>0.7319145204543592</c:v>
                </c:pt>
                <c:pt idx="22">
                  <c:v>0.5133407979600855</c:v>
                </c:pt>
                <c:pt idx="23">
                  <c:v>0.25747499221239534</c:v>
                </c:pt>
                <c:pt idx="24">
                  <c:v>-0.01867315689334203</c:v>
                </c:pt>
              </c:numCache>
            </c:numRef>
          </c:xVal>
          <c:yVal>
            <c:numRef>
              <c:f>расчет!$B$34:$Z$34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0.8573917065766777</c:v>
                </c:pt>
                <c:pt idx="3">
                  <c:v>0.6952038586699989</c:v>
                </c:pt>
                <c:pt idx="4">
                  <c:v>0.48557079220959837</c:v>
                </c:pt>
                <c:pt idx="5">
                  <c:v>0.24255466627015804</c:v>
                </c:pt>
                <c:pt idx="6">
                  <c:v>-0.01752084048301879</c:v>
                </c:pt>
                <c:pt idx="7">
                  <c:v>-0.2771494588215213</c:v>
                </c:pt>
                <c:pt idx="8">
                  <c:v>-0.5188021994233654</c:v>
                </c:pt>
                <c:pt idx="9">
                  <c:v>-0.7260927024944718</c:v>
                </c:pt>
                <c:pt idx="10">
                  <c:v>-0.8848719292135916</c:v>
                </c:pt>
                <c:pt idx="11">
                  <c:v>-0.9841802518857362</c:v>
                </c:pt>
                <c:pt idx="12">
                  <c:v>-1.0169938306387263</c:v>
                </c:pt>
                <c:pt idx="13">
                  <c:v>-0.9807151082913798</c:v>
                </c:pt>
                <c:pt idx="14">
                  <c:v>-0.8773735252898098</c:v>
                </c:pt>
                <c:pt idx="15">
                  <c:v>-0.7135211496928398</c:v>
                </c:pt>
                <c:pt idx="16">
                  <c:v>-0.49982767128741623</c:v>
                </c:pt>
                <c:pt idx="17">
                  <c:v>-0.2503988739600986</c:v>
                </c:pt>
                <c:pt idx="18">
                  <c:v>0.01813898524139946</c:v>
                </c:pt>
                <c:pt idx="19">
                  <c:v>0.2877306926925029</c:v>
                </c:pt>
                <c:pt idx="20">
                  <c:v>0.5400891191229521</c:v>
                </c:pt>
                <c:pt idx="21">
                  <c:v>0.7579196730339763</c:v>
                </c:pt>
                <c:pt idx="22">
                  <c:v>0.9260913142491327</c:v>
                </c:pt>
                <c:pt idx="23">
                  <c:v>1.0326757896277656</c:v>
                </c:pt>
                <c:pt idx="24">
                  <c:v>1.0697844419447309</c:v>
                </c:pt>
              </c:numCache>
            </c:numRef>
          </c:yVal>
          <c:smooth val="1"/>
        </c:ser>
        <c:axId val="61144964"/>
        <c:axId val="13433765"/>
      </c:scatterChart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33765"/>
        <c:crosses val="autoZero"/>
        <c:crossBetween val="midCat"/>
        <c:dispUnits/>
      </c:valAx>
      <c:valAx>
        <c:axId val="1343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4964"/>
        <c:crosses val="autoZero"/>
        <c:crossBetween val="midCat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515"/>
          <c:w val="0.14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59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расчет!$A$31</c:f>
              <c:strCache>
                <c:ptCount val="1"/>
                <c:pt idx="0">
                  <c:v>(X)A=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расчет!$B$31:$Z$31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0.8571673007021124</c:v>
                </c:pt>
                <c:pt idx="3">
                  <c:v>0.6946583704589974</c:v>
                </c:pt>
                <c:pt idx="4">
                  <c:v>0.48480962024633717</c:v>
                </c:pt>
                <c:pt idx="5">
                  <c:v>0.24192189559966773</c:v>
                </c:pt>
                <c:pt idx="6">
                  <c:v>-0.01745240643728345</c:v>
                </c:pt>
                <c:pt idx="7">
                  <c:v>-0.27563735581699933</c:v>
                </c:pt>
                <c:pt idx="8">
                  <c:v>-0.515038074910054</c:v>
                </c:pt>
                <c:pt idx="9">
                  <c:v>-0.7193398003386511</c:v>
                </c:pt>
                <c:pt idx="10">
                  <c:v>-0.8746197071393959</c:v>
                </c:pt>
                <c:pt idx="11">
                  <c:v>-0.9702957262759965</c:v>
                </c:pt>
                <c:pt idx="12">
                  <c:v>-0.9998476951563913</c:v>
                </c:pt>
                <c:pt idx="13">
                  <c:v>-0.9612616959383189</c:v>
                </c:pt>
                <c:pt idx="14">
                  <c:v>-0.8571673007021123</c:v>
                </c:pt>
                <c:pt idx="15">
                  <c:v>-0.6946583704589975</c:v>
                </c:pt>
                <c:pt idx="16">
                  <c:v>-0.4848096202463375</c:v>
                </c:pt>
                <c:pt idx="17">
                  <c:v>-0.24192189559966762</c:v>
                </c:pt>
                <c:pt idx="18">
                  <c:v>0.017452406437283328</c:v>
                </c:pt>
                <c:pt idx="19">
                  <c:v>0.2756373558169988</c:v>
                </c:pt>
                <c:pt idx="20">
                  <c:v>0.5150380749100544</c:v>
                </c:pt>
                <c:pt idx="21">
                  <c:v>0.719339800338651</c:v>
                </c:pt>
                <c:pt idx="22">
                  <c:v>0.8746197071393956</c:v>
                </c:pt>
                <c:pt idx="23">
                  <c:v>0.9702957262759966</c:v>
                </c:pt>
                <c:pt idx="24">
                  <c:v>0.9998476951563913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расчет!$A$33</c:f>
              <c:strCache>
                <c:ptCount val="1"/>
                <c:pt idx="0">
                  <c:v>(X_t)A=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расчет!$B$33:$Z$33</c:f>
              <c:numCache>
                <c:ptCount val="25"/>
                <c:pt idx="0">
                  <c:v>-0.01745240643728351</c:v>
                </c:pt>
                <c:pt idx="1">
                  <c:v>-0.2756373558169992</c:v>
                </c:pt>
                <c:pt idx="2">
                  <c:v>-0.5151729115627589</c:v>
                </c:pt>
                <c:pt idx="3">
                  <c:v>-0.7199046699169586</c:v>
                </c:pt>
                <c:pt idx="4">
                  <c:v>-0.8759928977110927</c:v>
                </c:pt>
                <c:pt idx="5">
                  <c:v>-0.9728336308164999</c:v>
                </c:pt>
                <c:pt idx="6">
                  <c:v>-1.0037682790108067</c:v>
                </c:pt>
                <c:pt idx="7">
                  <c:v>-0.9665350257968641</c:v>
                </c:pt>
                <c:pt idx="8">
                  <c:v>-0.8634318558986291</c:v>
                </c:pt>
                <c:pt idx="9">
                  <c:v>-0.7011795722682439</c:v>
                </c:pt>
                <c:pt idx="10">
                  <c:v>-0.4904925197395676</c:v>
                </c:pt>
                <c:pt idx="11">
                  <c:v>-0.2453836966403694</c:v>
                </c:pt>
                <c:pt idx="12">
                  <c:v>0.017751693345395562</c:v>
                </c:pt>
                <c:pt idx="13">
                  <c:v>0.2812155320465028</c:v>
                </c:pt>
                <c:pt idx="14">
                  <c:v>0.5271791995240283</c:v>
                </c:pt>
                <c:pt idx="15">
                  <c:v>0.738872780037634</c:v>
                </c:pt>
                <c:pt idx="16">
                  <c:v>0.9017129884086054</c:v>
                </c:pt>
                <c:pt idx="17">
                  <c:v>1.0042950294580089</c:v>
                </c:pt>
                <c:pt idx="18">
                  <c:v>1.0391817685006974</c:v>
                </c:pt>
                <c:pt idx="19">
                  <c:v>1.003436173632186</c:v>
                </c:pt>
                <c:pt idx="20">
                  <c:v>0.8988592395970938</c:v>
                </c:pt>
                <c:pt idx="21">
                  <c:v>0.7319145204543592</c:v>
                </c:pt>
                <c:pt idx="22">
                  <c:v>0.5133407979600855</c:v>
                </c:pt>
                <c:pt idx="23">
                  <c:v>0.25747499221239534</c:v>
                </c:pt>
                <c:pt idx="24">
                  <c:v>-0.01867315689334203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расчет!$A$35</c:f>
              <c:strCache>
                <c:ptCount val="1"/>
                <c:pt idx="0">
                  <c:v>(X_tt)A=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расчет!$B$35:$Z$35</c:f>
              <c:numCache>
                <c:ptCount val="25"/>
                <c:pt idx="0">
                  <c:v>-0.9998476951563913</c:v>
                </c:pt>
                <c:pt idx="1">
                  <c:v>-0.9615373332941359</c:v>
                </c:pt>
                <c:pt idx="2">
                  <c:v>-0.8586462473503836</c:v>
                </c:pt>
                <c:pt idx="3">
                  <c:v>-0.6979077946327007</c:v>
                </c:pt>
                <c:pt idx="4">
                  <c:v>-0.48983163807414976</c:v>
                </c:pt>
                <c:pt idx="5">
                  <c:v>-0.2480405706463673</c:v>
                </c:pt>
                <c:pt idx="6">
                  <c:v>0.011590456700100421</c:v>
                </c:pt>
                <c:pt idx="7">
                  <c:v>0.271941025112762</c:v>
                </c:pt>
                <c:pt idx="8">
                  <c:v>0.5157364954066244</c:v>
                </c:pt>
                <c:pt idx="9">
                  <c:v>0.7266570731218491</c:v>
                </c:pt>
                <c:pt idx="10">
                  <c:v>0.8903962308103855</c:v>
                </c:pt>
                <c:pt idx="11">
                  <c:v>0.9956023183923269</c:v>
                </c:pt>
                <c:pt idx="12">
                  <c:v>1.0346434297432032</c:v>
                </c:pt>
                <c:pt idx="13">
                  <c:v>1.0041454922494126</c:v>
                </c:pt>
                <c:pt idx="14">
                  <c:v>0.90526660944005</c:v>
                </c:pt>
                <c:pt idx="15">
                  <c:v>0.7436862265408031</c:v>
                </c:pt>
                <c:pt idx="16">
                  <c:v>0.5293048550139439</c:v>
                </c:pt>
                <c:pt idx="17">
                  <c:v>0.2756679142202333</c:v>
                </c:pt>
                <c:pt idx="18">
                  <c:v>-0.0008553155875004569</c:v>
                </c:pt>
                <c:pt idx="19">
                  <c:v>-0.2820906414394536</c:v>
                </c:pt>
                <c:pt idx="20">
                  <c:v>-0.5492152802796505</c:v>
                </c:pt>
                <c:pt idx="21">
                  <c:v>-0.7839808485818988</c:v>
                </c:pt>
                <c:pt idx="22">
                  <c:v>-0.9699262277596514</c:v>
                </c:pt>
                <c:pt idx="23">
                  <c:v>-1.0935020476525203</c:v>
                </c:pt>
                <c:pt idx="24">
                  <c:v>-1.145031940097993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 val="autoZero"/>
        <c:auto val="1"/>
        <c:lblOffset val="100"/>
        <c:tickLblSkip val="2"/>
        <c:noMultiLvlLbl val="0"/>
      </c:catAx>
      <c:valAx>
        <c:axId val="14393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95022"/>
        <c:crossesAt val="1"/>
        <c:crossBetween val="between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3655"/>
          <c:w val="0.17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8092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расчет!$A$31</c:f>
              <c:strCache>
                <c:ptCount val="1"/>
                <c:pt idx="0">
                  <c:v>(X)A=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расчет!$B$31:$Z$31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0.8571673007021124</c:v>
                </c:pt>
                <c:pt idx="3">
                  <c:v>0.6946583704589974</c:v>
                </c:pt>
                <c:pt idx="4">
                  <c:v>0.48480962024633717</c:v>
                </c:pt>
                <c:pt idx="5">
                  <c:v>0.24192189559966773</c:v>
                </c:pt>
                <c:pt idx="6">
                  <c:v>-0.01745240643728345</c:v>
                </c:pt>
                <c:pt idx="7">
                  <c:v>-0.27563735581699933</c:v>
                </c:pt>
                <c:pt idx="8">
                  <c:v>-0.515038074910054</c:v>
                </c:pt>
                <c:pt idx="9">
                  <c:v>-0.7193398003386511</c:v>
                </c:pt>
                <c:pt idx="10">
                  <c:v>-0.8746197071393959</c:v>
                </c:pt>
                <c:pt idx="11">
                  <c:v>-0.9702957262759965</c:v>
                </c:pt>
                <c:pt idx="12">
                  <c:v>-0.9998476951563913</c:v>
                </c:pt>
                <c:pt idx="13">
                  <c:v>-0.9612616959383189</c:v>
                </c:pt>
                <c:pt idx="14">
                  <c:v>-0.8571673007021123</c:v>
                </c:pt>
                <c:pt idx="15">
                  <c:v>-0.6946583704589975</c:v>
                </c:pt>
                <c:pt idx="16">
                  <c:v>-0.4848096202463375</c:v>
                </c:pt>
                <c:pt idx="17">
                  <c:v>-0.24192189559966762</c:v>
                </c:pt>
                <c:pt idx="18">
                  <c:v>0.017452406437283328</c:v>
                </c:pt>
                <c:pt idx="19">
                  <c:v>0.2756373558169988</c:v>
                </c:pt>
                <c:pt idx="20">
                  <c:v>0.5150380749100544</c:v>
                </c:pt>
                <c:pt idx="21">
                  <c:v>0.719339800338651</c:v>
                </c:pt>
                <c:pt idx="22">
                  <c:v>0.8746197071393956</c:v>
                </c:pt>
                <c:pt idx="23">
                  <c:v>0.9702957262759966</c:v>
                </c:pt>
                <c:pt idx="24">
                  <c:v>0.9998476951563913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расчет!$A$32</c:f>
              <c:strCache>
                <c:ptCount val="1"/>
                <c:pt idx="0">
                  <c:v>(Y)A=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расчет!$B$32:$Z$32</c:f>
              <c:numCache>
                <c:ptCount val="25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0.8571673007021124</c:v>
                </c:pt>
                <c:pt idx="9">
                  <c:v>0.6946583704589974</c:v>
                </c:pt>
                <c:pt idx="10">
                  <c:v>0.484809620246337</c:v>
                </c:pt>
                <c:pt idx="11">
                  <c:v>0.241921895599668</c:v>
                </c:pt>
                <c:pt idx="12">
                  <c:v>-0.01745240643728339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-0.7193398003386511</c:v>
                </c:pt>
                <c:pt idx="16">
                  <c:v>-0.8746197071393956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-0.961261695938319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-0.4848096202463375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 val="autoZero"/>
        <c:auto val="1"/>
        <c:lblOffset val="100"/>
        <c:tickLblSkip val="2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9496"/>
        <c:crossesAt val="1"/>
        <c:crossBetween val="between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4575"/>
          <c:w val="0.77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расчет!$A$32</c:f>
              <c:strCache>
                <c:ptCount val="1"/>
                <c:pt idx="0">
                  <c:v>(Y)A=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расчет!$B$32:$Z$32</c:f>
              <c:numCache>
                <c:ptCount val="25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0.8571673007021124</c:v>
                </c:pt>
                <c:pt idx="9">
                  <c:v>0.6946583704589974</c:v>
                </c:pt>
                <c:pt idx="10">
                  <c:v>0.484809620246337</c:v>
                </c:pt>
                <c:pt idx="11">
                  <c:v>0.241921895599668</c:v>
                </c:pt>
                <c:pt idx="12">
                  <c:v>-0.01745240643728339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-0.7193398003386511</c:v>
                </c:pt>
                <c:pt idx="16">
                  <c:v>-0.8746197071393956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-0.961261695938319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-0.4848096202463375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расчет!$A$34</c:f>
              <c:strCache>
                <c:ptCount val="1"/>
                <c:pt idx="0">
                  <c:v>(Y_t)A=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расчет!$B$34:$Z$34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0.8573917065766777</c:v>
                </c:pt>
                <c:pt idx="3">
                  <c:v>0.6952038586699989</c:v>
                </c:pt>
                <c:pt idx="4">
                  <c:v>0.48557079220959837</c:v>
                </c:pt>
                <c:pt idx="5">
                  <c:v>0.24255466627015804</c:v>
                </c:pt>
                <c:pt idx="6">
                  <c:v>-0.01752084048301879</c:v>
                </c:pt>
                <c:pt idx="7">
                  <c:v>-0.2771494588215213</c:v>
                </c:pt>
                <c:pt idx="8">
                  <c:v>-0.5188021994233654</c:v>
                </c:pt>
                <c:pt idx="9">
                  <c:v>-0.7260927024944718</c:v>
                </c:pt>
                <c:pt idx="10">
                  <c:v>-0.8848719292135916</c:v>
                </c:pt>
                <c:pt idx="11">
                  <c:v>-0.9841802518857362</c:v>
                </c:pt>
                <c:pt idx="12">
                  <c:v>-1.0169938306387263</c:v>
                </c:pt>
                <c:pt idx="13">
                  <c:v>-0.9807151082913798</c:v>
                </c:pt>
                <c:pt idx="14">
                  <c:v>-0.8773735252898098</c:v>
                </c:pt>
                <c:pt idx="15">
                  <c:v>-0.7135211496928398</c:v>
                </c:pt>
                <c:pt idx="16">
                  <c:v>-0.49982767128741623</c:v>
                </c:pt>
                <c:pt idx="17">
                  <c:v>-0.2503988739600986</c:v>
                </c:pt>
                <c:pt idx="18">
                  <c:v>0.01813898524139946</c:v>
                </c:pt>
                <c:pt idx="19">
                  <c:v>0.2877306926925029</c:v>
                </c:pt>
                <c:pt idx="20">
                  <c:v>0.5400891191229521</c:v>
                </c:pt>
                <c:pt idx="21">
                  <c:v>0.7579196730339763</c:v>
                </c:pt>
                <c:pt idx="22">
                  <c:v>0.9260913142491327</c:v>
                </c:pt>
                <c:pt idx="23">
                  <c:v>1.0326757896277656</c:v>
                </c:pt>
                <c:pt idx="24">
                  <c:v>1.0697844419447309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расчет!$A$36</c:f>
              <c:strCache>
                <c:ptCount val="1"/>
                <c:pt idx="0">
                  <c:v>(Y_tt)A=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расчет!$B$36:$Z$36</c:f>
              <c:numCache>
                <c:ptCount val="25"/>
                <c:pt idx="0">
                  <c:v>-0.01745240643728351</c:v>
                </c:pt>
                <c:pt idx="1">
                  <c:v>-0.2746760941210609</c:v>
                </c:pt>
                <c:pt idx="2">
                  <c:v>-0.5135934489142124</c:v>
                </c:pt>
                <c:pt idx="3">
                  <c:v>-0.7183860079540076</c:v>
                </c:pt>
                <c:pt idx="4">
                  <c:v>-0.8754290057700849</c:v>
                </c:pt>
                <c:pt idx="5">
                  <c:v>-0.974168564019607</c:v>
                </c:pt>
                <c:pt idx="6">
                  <c:v>-1.0078089506230363</c:v>
                </c:pt>
                <c:pt idx="7">
                  <c:v>-0.9737667458009522</c:v>
                </c:pt>
                <c:pt idx="8">
                  <c:v>-0.8738624998158903</c:v>
                </c:pt>
                <c:pt idx="9">
                  <c:v>-0.7142360509670831</c:v>
                </c:pt>
                <c:pt idx="10">
                  <c:v>-0.5049882307963587</c:v>
                </c:pt>
                <c:pt idx="11">
                  <c:v>-0.25956828759364853</c:v>
                </c:pt>
                <c:pt idx="12">
                  <c:v>0.00605794030719432</c:v>
                </c:pt>
                <c:pt idx="13">
                  <c:v>0.2744101938668251</c:v>
                </c:pt>
                <c:pt idx="14">
                  <c:v>0.5276061877721148</c:v>
                </c:pt>
                <c:pt idx="15">
                  <c:v>0.7485162834371362</c:v>
                </c:pt>
                <c:pt idx="16">
                  <c:v>0.9218885901081337</c:v>
                </c:pt>
                <c:pt idx="17">
                  <c:v>1.0353730009366482</c:v>
                </c:pt>
                <c:pt idx="18">
                  <c:v>1.080377390164007</c:v>
                </c:pt>
                <c:pt idx="19">
                  <c:v>1.0526981277206218</c:v>
                </c:pt>
                <c:pt idx="20">
                  <c:v>0.9528798028910183</c:v>
                </c:pt>
                <c:pt idx="21">
                  <c:v>0.7862749405506148</c:v>
                </c:pt>
                <c:pt idx="22">
                  <c:v>0.5627926767818284</c:v>
                </c:pt>
                <c:pt idx="23">
                  <c:v>0.29634479512117906</c:v>
                </c:pt>
                <c:pt idx="24">
                  <c:v>0.004017049013760668</c:v>
                </c:pt>
              </c:numCache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 val="autoZero"/>
        <c:auto val="1"/>
        <c:lblOffset val="100"/>
        <c:tickLblSkip val="2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4386"/>
        <c:crossesAt val="1"/>
        <c:crossBetween val="between"/>
        <c:dispUnits/>
      </c:valAx>
      <c:spPr>
        <a:pattFill prst="divot">
          <a:fgClr>
            <a:srgbClr val="FFFFFF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16"/>
          <c:w val="0.1782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59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расчет!$A$35</c:f>
              <c:strCache>
                <c:ptCount val="1"/>
                <c:pt idx="0">
                  <c:v>(X_tt)A=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расчет!$B$35:$Z$35</c:f>
              <c:numCache>
                <c:ptCount val="25"/>
                <c:pt idx="0">
                  <c:v>-0.9998476951563913</c:v>
                </c:pt>
                <c:pt idx="1">
                  <c:v>-0.9615373332941359</c:v>
                </c:pt>
                <c:pt idx="2">
                  <c:v>-0.8586462473503836</c:v>
                </c:pt>
                <c:pt idx="3">
                  <c:v>-0.6979077946327007</c:v>
                </c:pt>
                <c:pt idx="4">
                  <c:v>-0.48983163807414976</c:v>
                </c:pt>
                <c:pt idx="5">
                  <c:v>-0.2480405706463673</c:v>
                </c:pt>
                <c:pt idx="6">
                  <c:v>0.011590456700100421</c:v>
                </c:pt>
                <c:pt idx="7">
                  <c:v>0.271941025112762</c:v>
                </c:pt>
                <c:pt idx="8">
                  <c:v>0.5157364954066244</c:v>
                </c:pt>
                <c:pt idx="9">
                  <c:v>0.7266570731218491</c:v>
                </c:pt>
                <c:pt idx="10">
                  <c:v>0.8903962308103855</c:v>
                </c:pt>
                <c:pt idx="11">
                  <c:v>0.9956023183923269</c:v>
                </c:pt>
                <c:pt idx="12">
                  <c:v>1.0346434297432032</c:v>
                </c:pt>
                <c:pt idx="13">
                  <c:v>1.0041454922494126</c:v>
                </c:pt>
                <c:pt idx="14">
                  <c:v>0.90526660944005</c:v>
                </c:pt>
                <c:pt idx="15">
                  <c:v>0.7436862265408031</c:v>
                </c:pt>
                <c:pt idx="16">
                  <c:v>0.5293048550139439</c:v>
                </c:pt>
                <c:pt idx="17">
                  <c:v>0.2756679142202333</c:v>
                </c:pt>
                <c:pt idx="18">
                  <c:v>-0.0008553155875004569</c:v>
                </c:pt>
                <c:pt idx="19">
                  <c:v>-0.2820906414394536</c:v>
                </c:pt>
                <c:pt idx="20">
                  <c:v>-0.5492152802796505</c:v>
                </c:pt>
                <c:pt idx="21">
                  <c:v>-0.7839808485818988</c:v>
                </c:pt>
                <c:pt idx="22">
                  <c:v>-0.9699262277596514</c:v>
                </c:pt>
                <c:pt idx="23">
                  <c:v>-1.0935020476525203</c:v>
                </c:pt>
                <c:pt idx="24">
                  <c:v>-1.145031940097993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расчет!$A$36</c:f>
              <c:strCache>
                <c:ptCount val="1"/>
                <c:pt idx="0">
                  <c:v>(Y_tt)A=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расчет!$B$36:$Z$36</c:f>
              <c:numCache>
                <c:ptCount val="25"/>
                <c:pt idx="0">
                  <c:v>-0.01745240643728351</c:v>
                </c:pt>
                <c:pt idx="1">
                  <c:v>-0.2746760941210609</c:v>
                </c:pt>
                <c:pt idx="2">
                  <c:v>-0.5135934489142124</c:v>
                </c:pt>
                <c:pt idx="3">
                  <c:v>-0.7183860079540076</c:v>
                </c:pt>
                <c:pt idx="4">
                  <c:v>-0.8754290057700849</c:v>
                </c:pt>
                <c:pt idx="5">
                  <c:v>-0.974168564019607</c:v>
                </c:pt>
                <c:pt idx="6">
                  <c:v>-1.0078089506230363</c:v>
                </c:pt>
                <c:pt idx="7">
                  <c:v>-0.9737667458009522</c:v>
                </c:pt>
                <c:pt idx="8">
                  <c:v>-0.8738624998158903</c:v>
                </c:pt>
                <c:pt idx="9">
                  <c:v>-0.7142360509670831</c:v>
                </c:pt>
                <c:pt idx="10">
                  <c:v>-0.5049882307963587</c:v>
                </c:pt>
                <c:pt idx="11">
                  <c:v>-0.25956828759364853</c:v>
                </c:pt>
                <c:pt idx="12">
                  <c:v>0.00605794030719432</c:v>
                </c:pt>
                <c:pt idx="13">
                  <c:v>0.2744101938668251</c:v>
                </c:pt>
                <c:pt idx="14">
                  <c:v>0.5276061877721148</c:v>
                </c:pt>
                <c:pt idx="15">
                  <c:v>0.7485162834371362</c:v>
                </c:pt>
                <c:pt idx="16">
                  <c:v>0.9218885901081337</c:v>
                </c:pt>
                <c:pt idx="17">
                  <c:v>1.0353730009366482</c:v>
                </c:pt>
                <c:pt idx="18">
                  <c:v>1.080377390164007</c:v>
                </c:pt>
                <c:pt idx="19">
                  <c:v>1.0526981277206218</c:v>
                </c:pt>
                <c:pt idx="20">
                  <c:v>0.9528798028910183</c:v>
                </c:pt>
                <c:pt idx="21">
                  <c:v>0.7862749405506148</c:v>
                </c:pt>
                <c:pt idx="22">
                  <c:v>0.5627926767818284</c:v>
                </c:pt>
                <c:pt idx="23">
                  <c:v>0.29634479512117906</c:v>
                </c:pt>
                <c:pt idx="24">
                  <c:v>0.004017049013760668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 val="autoZero"/>
        <c:auto val="1"/>
        <c:lblOffset val="100"/>
        <c:tickLblSkip val="2"/>
        <c:noMultiLvlLbl val="0"/>
      </c:catAx>
      <c:valAx>
        <c:axId val="42308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7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8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расчет!$A$33</c:f>
              <c:strCache>
                <c:ptCount val="1"/>
                <c:pt idx="0">
                  <c:v>(X_t)A=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расчет!$B$33:$Z$33</c:f>
              <c:numCache>
                <c:ptCount val="25"/>
                <c:pt idx="0">
                  <c:v>-0.01745240643728351</c:v>
                </c:pt>
                <c:pt idx="1">
                  <c:v>-0.2756373558169992</c:v>
                </c:pt>
                <c:pt idx="2">
                  <c:v>-0.5151729115627589</c:v>
                </c:pt>
                <c:pt idx="3">
                  <c:v>-0.7199046699169586</c:v>
                </c:pt>
                <c:pt idx="4">
                  <c:v>-0.8759928977110927</c:v>
                </c:pt>
                <c:pt idx="5">
                  <c:v>-0.9728336308164999</c:v>
                </c:pt>
                <c:pt idx="6">
                  <c:v>-1.0037682790108067</c:v>
                </c:pt>
                <c:pt idx="7">
                  <c:v>-0.9665350257968641</c:v>
                </c:pt>
                <c:pt idx="8">
                  <c:v>-0.8634318558986291</c:v>
                </c:pt>
                <c:pt idx="9">
                  <c:v>-0.7011795722682439</c:v>
                </c:pt>
                <c:pt idx="10">
                  <c:v>-0.4904925197395676</c:v>
                </c:pt>
                <c:pt idx="11">
                  <c:v>-0.2453836966403694</c:v>
                </c:pt>
                <c:pt idx="12">
                  <c:v>0.017751693345395562</c:v>
                </c:pt>
                <c:pt idx="13">
                  <c:v>0.2812155320465028</c:v>
                </c:pt>
                <c:pt idx="14">
                  <c:v>0.5271791995240283</c:v>
                </c:pt>
                <c:pt idx="15">
                  <c:v>0.738872780037634</c:v>
                </c:pt>
                <c:pt idx="16">
                  <c:v>0.9017129884086054</c:v>
                </c:pt>
                <c:pt idx="17">
                  <c:v>1.0042950294580089</c:v>
                </c:pt>
                <c:pt idx="18">
                  <c:v>1.0391817685006974</c:v>
                </c:pt>
                <c:pt idx="19">
                  <c:v>1.003436173632186</c:v>
                </c:pt>
                <c:pt idx="20">
                  <c:v>0.8988592395970938</c:v>
                </c:pt>
                <c:pt idx="21">
                  <c:v>0.7319145204543592</c:v>
                </c:pt>
                <c:pt idx="22">
                  <c:v>0.5133407979600855</c:v>
                </c:pt>
                <c:pt idx="23">
                  <c:v>0.25747499221239534</c:v>
                </c:pt>
                <c:pt idx="24">
                  <c:v>-0.01867315689334203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расчет!$A$34</c:f>
              <c:strCache>
                <c:ptCount val="1"/>
                <c:pt idx="0">
                  <c:v>(Y_t)A=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расчет!$B$34:$Z$34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0.8573917065766777</c:v>
                </c:pt>
                <c:pt idx="3">
                  <c:v>0.6952038586699989</c:v>
                </c:pt>
                <c:pt idx="4">
                  <c:v>0.48557079220959837</c:v>
                </c:pt>
                <c:pt idx="5">
                  <c:v>0.24255466627015804</c:v>
                </c:pt>
                <c:pt idx="6">
                  <c:v>-0.01752084048301879</c:v>
                </c:pt>
                <c:pt idx="7">
                  <c:v>-0.2771494588215213</c:v>
                </c:pt>
                <c:pt idx="8">
                  <c:v>-0.5188021994233654</c:v>
                </c:pt>
                <c:pt idx="9">
                  <c:v>-0.7260927024944718</c:v>
                </c:pt>
                <c:pt idx="10">
                  <c:v>-0.8848719292135916</c:v>
                </c:pt>
                <c:pt idx="11">
                  <c:v>-0.9841802518857362</c:v>
                </c:pt>
                <c:pt idx="12">
                  <c:v>-1.0169938306387263</c:v>
                </c:pt>
                <c:pt idx="13">
                  <c:v>-0.9807151082913798</c:v>
                </c:pt>
                <c:pt idx="14">
                  <c:v>-0.8773735252898098</c:v>
                </c:pt>
                <c:pt idx="15">
                  <c:v>-0.7135211496928398</c:v>
                </c:pt>
                <c:pt idx="16">
                  <c:v>-0.49982767128741623</c:v>
                </c:pt>
                <c:pt idx="17">
                  <c:v>-0.2503988739600986</c:v>
                </c:pt>
                <c:pt idx="18">
                  <c:v>0.01813898524139946</c:v>
                </c:pt>
                <c:pt idx="19">
                  <c:v>0.2877306926925029</c:v>
                </c:pt>
                <c:pt idx="20">
                  <c:v>0.5400891191229521</c:v>
                </c:pt>
                <c:pt idx="21">
                  <c:v>0.7579196730339763</c:v>
                </c:pt>
                <c:pt idx="22">
                  <c:v>0.9260913142491327</c:v>
                </c:pt>
                <c:pt idx="23">
                  <c:v>1.0326757896277656</c:v>
                </c:pt>
                <c:pt idx="24">
                  <c:v>1.0697844419447309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327"/>
        <c:crosses val="autoZero"/>
        <c:auto val="1"/>
        <c:lblOffset val="100"/>
        <c:tickLblSkip val="2"/>
        <c:noMultiLvlLbl val="0"/>
      </c:catAx>
      <c:valAx>
        <c:axId val="442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0390"/>
        <c:crossesAt val="1"/>
        <c:crossBetween val="between"/>
        <c:dispUnits/>
      </c:valAx>
      <c:spPr>
        <a:pattFill prst="horzBrick">
          <a:fgClr>
            <a:srgbClr val="FF9900"/>
          </a:fgClr>
          <a:bgClr>
            <a:srgbClr val="FF99CC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4085"/>
          <c:w val="0.16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pattFill prst="divot">
      <a:fgClr>
        <a:srgbClr val="FFFFFF"/>
      </a:fgClr>
      <a:bgClr>
        <a:srgbClr val="FF99CC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0</xdr:rowOff>
    </xdr:from>
    <xdr:ext cx="76200" cy="200025"/>
    <xdr:sp>
      <xdr:nvSpPr>
        <xdr:cNvPr id="1" name="Text Box 11"/>
        <xdr:cNvSpPr txBox="1">
          <a:spLocks noChangeArrowheads="1"/>
        </xdr:cNvSpPr>
      </xdr:nvSpPr>
      <xdr:spPr>
        <a:xfrm>
          <a:off x="75247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1</xdr:row>
      <xdr:rowOff>0</xdr:rowOff>
    </xdr:from>
    <xdr:ext cx="66675" cy="200025"/>
    <xdr:sp>
      <xdr:nvSpPr>
        <xdr:cNvPr id="2" name="Text Box 28"/>
        <xdr:cNvSpPr txBox="1">
          <a:spLocks noChangeArrowheads="1"/>
        </xdr:cNvSpPr>
      </xdr:nvSpPr>
      <xdr:spPr>
        <a:xfrm>
          <a:off x="800100" y="190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171450</xdr:colOff>
      <xdr:row>242</xdr:row>
      <xdr:rowOff>152400</xdr:rowOff>
    </xdr:from>
    <xdr:to>
      <xdr:col>16</xdr:col>
      <xdr:colOff>266700</xdr:colOff>
      <xdr:row>256</xdr:row>
      <xdr:rowOff>133350</xdr:rowOff>
    </xdr:to>
    <xdr:graphicFrame>
      <xdr:nvGraphicFramePr>
        <xdr:cNvPr id="3" name="Chart 792"/>
        <xdr:cNvGraphicFramePr/>
      </xdr:nvGraphicFramePr>
      <xdr:xfrm>
        <a:off x="4086225" y="46967775"/>
        <a:ext cx="5162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257</xdr:row>
      <xdr:rowOff>47625</xdr:rowOff>
    </xdr:from>
    <xdr:to>
      <xdr:col>11</xdr:col>
      <xdr:colOff>447675</xdr:colOff>
      <xdr:row>271</xdr:row>
      <xdr:rowOff>142875</xdr:rowOff>
    </xdr:to>
    <xdr:graphicFrame>
      <xdr:nvGraphicFramePr>
        <xdr:cNvPr id="4" name="Chart 793"/>
        <xdr:cNvGraphicFramePr/>
      </xdr:nvGraphicFramePr>
      <xdr:xfrm>
        <a:off x="1933575" y="49949100"/>
        <a:ext cx="51435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352425</xdr:colOff>
      <xdr:row>13</xdr:row>
      <xdr:rowOff>76200</xdr:rowOff>
    </xdr:from>
    <xdr:ext cx="428625" cy="266700"/>
    <xdr:sp>
      <xdr:nvSpPr>
        <xdr:cNvPr id="1" name="TextBox 48"/>
        <xdr:cNvSpPr txBox="1">
          <a:spLocks noChangeArrowheads="1"/>
        </xdr:cNvSpPr>
      </xdr:nvSpPr>
      <xdr:spPr>
        <a:xfrm>
          <a:off x="8886825" y="25527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342900</xdr:colOff>
      <xdr:row>10</xdr:row>
      <xdr:rowOff>57150</xdr:rowOff>
    </xdr:from>
    <xdr:to>
      <xdr:col>9</xdr:col>
      <xdr:colOff>333375</xdr:colOff>
      <xdr:row>11</xdr:row>
      <xdr:rowOff>19050</xdr:rowOff>
    </xdr:to>
    <xdr:sp>
      <xdr:nvSpPr>
        <xdr:cNvPr id="2" name="Rectangle 4"/>
        <xdr:cNvSpPr>
          <a:spLocks/>
        </xdr:cNvSpPr>
      </xdr:nvSpPr>
      <xdr:spPr>
        <a:xfrm rot="20073999">
          <a:off x="5219700" y="1962150"/>
          <a:ext cx="600075" cy="1524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66675</xdr:rowOff>
    </xdr:from>
    <xdr:to>
      <xdr:col>13</xdr:col>
      <xdr:colOff>85725</xdr:colOff>
      <xdr:row>15</xdr:row>
      <xdr:rowOff>104775</xdr:rowOff>
    </xdr:to>
    <xdr:sp>
      <xdr:nvSpPr>
        <xdr:cNvPr id="3" name="Rectangle 21"/>
        <xdr:cNvSpPr>
          <a:spLocks/>
        </xdr:cNvSpPr>
      </xdr:nvSpPr>
      <xdr:spPr>
        <a:xfrm rot="16200000">
          <a:off x="7858125" y="2352675"/>
          <a:ext cx="152400" cy="6096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123825</xdr:colOff>
      <xdr:row>3</xdr:row>
      <xdr:rowOff>0</xdr:rowOff>
    </xdr:from>
    <xdr:ext cx="314325" cy="485775"/>
    <xdr:sp>
      <xdr:nvSpPr>
        <xdr:cNvPr id="4" name="TextBox 52"/>
        <xdr:cNvSpPr txBox="1">
          <a:spLocks noChangeArrowheads="1"/>
        </xdr:cNvSpPr>
      </xdr:nvSpPr>
      <xdr:spPr>
        <a:xfrm>
          <a:off x="7439025" y="571500"/>
          <a:ext cx="314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</a:p>
      </xdr:txBody>
    </xdr:sp>
    <xdr:clientData/>
  </xdr:oneCellAnchor>
  <xdr:twoCellAnchor>
    <xdr:from>
      <xdr:col>3</xdr:col>
      <xdr:colOff>228600</xdr:colOff>
      <xdr:row>17</xdr:row>
      <xdr:rowOff>180975</xdr:rowOff>
    </xdr:from>
    <xdr:to>
      <xdr:col>3</xdr:col>
      <xdr:colOff>552450</xdr:colOff>
      <xdr:row>20</xdr:row>
      <xdr:rowOff>38100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2057400" y="3419475"/>
          <a:ext cx="323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5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7</xdr:col>
      <xdr:colOff>590550</xdr:colOff>
      <xdr:row>3</xdr:row>
      <xdr:rowOff>85725</xdr:rowOff>
    </xdr:from>
    <xdr:to>
      <xdr:col>8</xdr:col>
      <xdr:colOff>304800</xdr:colOff>
      <xdr:row>5</xdr:row>
      <xdr:rowOff>133350</xdr:rowOff>
    </xdr:to>
    <xdr:sp>
      <xdr:nvSpPr>
        <xdr:cNvPr id="6" name="TextBox 93"/>
        <xdr:cNvSpPr txBox="1">
          <a:spLocks noChangeArrowheads="1"/>
        </xdr:cNvSpPr>
      </xdr:nvSpPr>
      <xdr:spPr>
        <a:xfrm>
          <a:off x="4857750" y="657225"/>
          <a:ext cx="323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7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5</xdr:col>
      <xdr:colOff>600075</xdr:colOff>
      <xdr:row>15</xdr:row>
      <xdr:rowOff>104775</xdr:rowOff>
    </xdr:from>
    <xdr:to>
      <xdr:col>6</xdr:col>
      <xdr:colOff>533400</xdr:colOff>
      <xdr:row>20</xdr:row>
      <xdr:rowOff>180975</xdr:rowOff>
    </xdr:to>
    <xdr:sp>
      <xdr:nvSpPr>
        <xdr:cNvPr id="7" name="AutoShape 12"/>
        <xdr:cNvSpPr>
          <a:spLocks/>
        </xdr:cNvSpPr>
      </xdr:nvSpPr>
      <xdr:spPr>
        <a:xfrm flipH="1" flipV="1">
          <a:off x="3648075" y="2962275"/>
          <a:ext cx="542925" cy="10287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5</xdr:row>
      <xdr:rowOff>57150</xdr:rowOff>
    </xdr:from>
    <xdr:to>
      <xdr:col>12</xdr:col>
      <xdr:colOff>295275</xdr:colOff>
      <xdr:row>15</xdr:row>
      <xdr:rowOff>104775</xdr:rowOff>
    </xdr:to>
    <xdr:sp>
      <xdr:nvSpPr>
        <xdr:cNvPr id="8" name="AutoShape 3"/>
        <xdr:cNvSpPr>
          <a:spLocks/>
        </xdr:cNvSpPr>
      </xdr:nvSpPr>
      <xdr:spPr>
        <a:xfrm flipV="1">
          <a:off x="3648075" y="1009650"/>
          <a:ext cx="3962400" cy="19526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5</xdr:row>
      <xdr:rowOff>28575</xdr:rowOff>
    </xdr:from>
    <xdr:to>
      <xdr:col>13</xdr:col>
      <xdr:colOff>28575</xdr:colOff>
      <xdr:row>13</xdr:row>
      <xdr:rowOff>161925</xdr:rowOff>
    </xdr:to>
    <xdr:sp>
      <xdr:nvSpPr>
        <xdr:cNvPr id="9" name="AutoShape 5"/>
        <xdr:cNvSpPr>
          <a:spLocks/>
        </xdr:cNvSpPr>
      </xdr:nvSpPr>
      <xdr:spPr>
        <a:xfrm>
          <a:off x="7620000" y="981075"/>
          <a:ext cx="333375" cy="16573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15</xdr:row>
      <xdr:rowOff>66675</xdr:rowOff>
    </xdr:from>
    <xdr:to>
      <xdr:col>6</xdr:col>
      <xdr:colOff>47625</xdr:colOff>
      <xdr:row>15</xdr:row>
      <xdr:rowOff>161925</xdr:rowOff>
    </xdr:to>
    <xdr:sp>
      <xdr:nvSpPr>
        <xdr:cNvPr id="10" name="AutoShape 6"/>
        <xdr:cNvSpPr>
          <a:spLocks/>
        </xdr:cNvSpPr>
      </xdr:nvSpPr>
      <xdr:spPr>
        <a:xfrm>
          <a:off x="3609975" y="2924175"/>
          <a:ext cx="95250" cy="95250"/>
        </a:xfrm>
        <a:prstGeom prst="flowChartConnector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85725</xdr:rowOff>
    </xdr:from>
    <xdr:to>
      <xdr:col>9</xdr:col>
      <xdr:colOff>190500</xdr:colOff>
      <xdr:row>12</xdr:row>
      <xdr:rowOff>0</xdr:rowOff>
    </xdr:to>
    <xdr:grpSp>
      <xdr:nvGrpSpPr>
        <xdr:cNvPr id="11" name="Group 7"/>
        <xdr:cNvGrpSpPr>
          <a:grpSpLocks/>
        </xdr:cNvGrpSpPr>
      </xdr:nvGrpSpPr>
      <xdr:grpSpPr>
        <a:xfrm rot="19825545">
          <a:off x="5438775" y="1990725"/>
          <a:ext cx="238125" cy="295275"/>
          <a:chOff x="2813" y="4560"/>
          <a:chExt cx="592" cy="748"/>
        </a:xfrm>
        <a:solidFill>
          <a:srgbClr val="FFFFFF"/>
        </a:solidFill>
      </xdr:grpSpPr>
      <xdr:sp>
        <xdr:nvSpPr>
          <xdr:cNvPr id="12" name="AutoShape 8"/>
          <xdr:cNvSpPr>
            <a:spLocks/>
          </xdr:cNvSpPr>
        </xdr:nvSpPr>
        <xdr:spPr>
          <a:xfrm>
            <a:off x="2979" y="4560"/>
            <a:ext cx="284" cy="265"/>
          </a:xfrm>
          <a:prstGeom prst="flowChartConnector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9"/>
          <xdr:cNvSpPr>
            <a:spLocks/>
          </xdr:cNvSpPr>
        </xdr:nvSpPr>
        <xdr:spPr>
          <a:xfrm flipH="1">
            <a:off x="2868" y="4787"/>
            <a:ext cx="118" cy="362"/>
          </a:xfrm>
          <a:prstGeom prst="straightConnector1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AutoShape 10"/>
          <xdr:cNvSpPr>
            <a:spLocks/>
          </xdr:cNvSpPr>
        </xdr:nvSpPr>
        <xdr:spPr>
          <a:xfrm>
            <a:off x="3216" y="4800"/>
            <a:ext cx="142" cy="362"/>
          </a:xfrm>
          <a:prstGeom prst="straightConnector1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11" descr="Светлый диагональный 1"/>
          <xdr:cNvSpPr>
            <a:spLocks/>
          </xdr:cNvSpPr>
        </xdr:nvSpPr>
        <xdr:spPr>
          <a:xfrm>
            <a:off x="2813" y="5142"/>
            <a:ext cx="592" cy="145"/>
          </a:xfrm>
          <a:prstGeom prst="rect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20</xdr:row>
      <xdr:rowOff>85725</xdr:rowOff>
    </xdr:from>
    <xdr:to>
      <xdr:col>7</xdr:col>
      <xdr:colOff>28575</xdr:colOff>
      <xdr:row>22</xdr:row>
      <xdr:rowOff>9525</xdr:rowOff>
    </xdr:to>
    <xdr:grpSp>
      <xdr:nvGrpSpPr>
        <xdr:cNvPr id="16" name="Group 13"/>
        <xdr:cNvGrpSpPr>
          <a:grpSpLocks/>
        </xdr:cNvGrpSpPr>
      </xdr:nvGrpSpPr>
      <xdr:grpSpPr>
        <a:xfrm>
          <a:off x="4057650" y="3895725"/>
          <a:ext cx="238125" cy="304800"/>
          <a:chOff x="2813" y="4560"/>
          <a:chExt cx="592" cy="748"/>
        </a:xfrm>
        <a:solidFill>
          <a:srgbClr val="FFFFFF"/>
        </a:solidFill>
      </xdr:grpSpPr>
      <xdr:sp>
        <xdr:nvSpPr>
          <xdr:cNvPr id="17" name="AutoShape 14"/>
          <xdr:cNvSpPr>
            <a:spLocks/>
          </xdr:cNvSpPr>
        </xdr:nvSpPr>
        <xdr:spPr>
          <a:xfrm>
            <a:off x="2979" y="4560"/>
            <a:ext cx="284" cy="281"/>
          </a:xfrm>
          <a:prstGeom prst="flowChartConnector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utoShape 15"/>
          <xdr:cNvSpPr>
            <a:spLocks/>
          </xdr:cNvSpPr>
        </xdr:nvSpPr>
        <xdr:spPr>
          <a:xfrm flipH="1">
            <a:off x="2884" y="4794"/>
            <a:ext cx="118" cy="374"/>
          </a:xfrm>
          <a:prstGeom prst="straightConnector1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AutoShape 16"/>
          <xdr:cNvSpPr>
            <a:spLocks/>
          </xdr:cNvSpPr>
        </xdr:nvSpPr>
        <xdr:spPr>
          <a:xfrm>
            <a:off x="3216" y="4794"/>
            <a:ext cx="142" cy="374"/>
          </a:xfrm>
          <a:prstGeom prst="straightConnector1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17" descr="Светлый диагональный 1"/>
          <xdr:cNvSpPr>
            <a:spLocks/>
          </xdr:cNvSpPr>
        </xdr:nvSpPr>
        <xdr:spPr>
          <a:xfrm>
            <a:off x="2813" y="5168"/>
            <a:ext cx="592" cy="140"/>
          </a:xfrm>
          <a:prstGeom prst="rect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5</xdr:row>
      <xdr:rowOff>9525</xdr:rowOff>
    </xdr:from>
    <xdr:to>
      <xdr:col>12</xdr:col>
      <xdr:colOff>352425</xdr:colOff>
      <xdr:row>5</xdr:row>
      <xdr:rowOff>95250</xdr:rowOff>
    </xdr:to>
    <xdr:sp>
      <xdr:nvSpPr>
        <xdr:cNvPr id="21" name="AutoShape 18"/>
        <xdr:cNvSpPr>
          <a:spLocks/>
        </xdr:cNvSpPr>
      </xdr:nvSpPr>
      <xdr:spPr>
        <a:xfrm>
          <a:off x="7572375" y="962025"/>
          <a:ext cx="95250" cy="85725"/>
        </a:xfrm>
        <a:prstGeom prst="flowChartConnector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38100</xdr:colOff>
      <xdr:row>25</xdr:row>
      <xdr:rowOff>9525</xdr:rowOff>
    </xdr:to>
    <xdr:sp>
      <xdr:nvSpPr>
        <xdr:cNvPr id="22" name="AutoShape 19"/>
        <xdr:cNvSpPr>
          <a:spLocks/>
        </xdr:cNvSpPr>
      </xdr:nvSpPr>
      <xdr:spPr>
        <a:xfrm>
          <a:off x="7943850" y="781050"/>
          <a:ext cx="19050" cy="399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171450</xdr:rowOff>
    </xdr:from>
    <xdr:to>
      <xdr:col>13</xdr:col>
      <xdr:colOff>38100</xdr:colOff>
      <xdr:row>25</xdr:row>
      <xdr:rowOff>9525</xdr:rowOff>
    </xdr:to>
    <xdr:sp>
      <xdr:nvSpPr>
        <xdr:cNvPr id="23" name="Rectangle 20" descr="Светлый диагональный 1"/>
        <xdr:cNvSpPr>
          <a:spLocks/>
        </xdr:cNvSpPr>
      </xdr:nvSpPr>
      <xdr:spPr>
        <a:xfrm rot="16200000">
          <a:off x="7810500" y="4171950"/>
          <a:ext cx="152400" cy="600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590550</xdr:colOff>
      <xdr:row>13</xdr:row>
      <xdr:rowOff>123825</xdr:rowOff>
    </xdr:from>
    <xdr:to>
      <xdr:col>13</xdr:col>
      <xdr:colOff>76200</xdr:colOff>
      <xdr:row>14</xdr:row>
      <xdr:rowOff>28575</xdr:rowOff>
    </xdr:to>
    <xdr:sp>
      <xdr:nvSpPr>
        <xdr:cNvPr id="24" name="AutoShape 22"/>
        <xdr:cNvSpPr>
          <a:spLocks/>
        </xdr:cNvSpPr>
      </xdr:nvSpPr>
      <xdr:spPr>
        <a:xfrm>
          <a:off x="7905750" y="2600325"/>
          <a:ext cx="95250" cy="95250"/>
        </a:xfrm>
        <a:prstGeom prst="flowChartConnector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142875</xdr:rowOff>
    </xdr:from>
    <xdr:to>
      <xdr:col>6</xdr:col>
      <xdr:colOff>447675</xdr:colOff>
      <xdr:row>23</xdr:row>
      <xdr:rowOff>28575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3829050" y="41433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</a:p>
      </xdr:txBody>
    </xdr:sp>
    <xdr:clientData/>
  </xdr:twoCellAnchor>
  <xdr:twoCellAnchor>
    <xdr:from>
      <xdr:col>5</xdr:col>
      <xdr:colOff>342900</xdr:colOff>
      <xdr:row>14</xdr:row>
      <xdr:rowOff>114300</xdr:rowOff>
    </xdr:from>
    <xdr:to>
      <xdr:col>5</xdr:col>
      <xdr:colOff>609600</xdr:colOff>
      <xdr:row>15</xdr:row>
      <xdr:rowOff>190500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3390900" y="27813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</a:p>
      </xdr:txBody>
    </xdr:sp>
    <xdr:clientData/>
  </xdr:twoCellAnchor>
  <xdr:twoCellAnchor>
    <xdr:from>
      <xdr:col>9</xdr:col>
      <xdr:colOff>209550</xdr:colOff>
      <xdr:row>11</xdr:row>
      <xdr:rowOff>38100</xdr:rowOff>
    </xdr:from>
    <xdr:to>
      <xdr:col>10</xdr:col>
      <xdr:colOff>133350</xdr:colOff>
      <xdr:row>12</xdr:row>
      <xdr:rowOff>114300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5695950" y="21336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152400</xdr:colOff>
      <xdr:row>24</xdr:row>
      <xdr:rowOff>76200</xdr:rowOff>
    </xdr:from>
    <xdr:to>
      <xdr:col>12</xdr:col>
      <xdr:colOff>581025</xdr:colOff>
      <xdr:row>25</xdr:row>
      <xdr:rowOff>152400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7467600" y="46482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13</xdr:col>
      <xdr:colOff>76200</xdr:colOff>
      <xdr:row>13</xdr:row>
      <xdr:rowOff>38100</xdr:rowOff>
    </xdr:from>
    <xdr:to>
      <xdr:col>13</xdr:col>
      <xdr:colOff>381000</xdr:colOff>
      <xdr:row>15</xdr:row>
      <xdr:rowOff>171450</xdr:rowOff>
    </xdr:to>
    <xdr:sp>
      <xdr:nvSpPr>
        <xdr:cNvPr id="29" name="TextBox 53"/>
        <xdr:cNvSpPr txBox="1">
          <a:spLocks noChangeArrowheads="1"/>
        </xdr:cNvSpPr>
      </xdr:nvSpPr>
      <xdr:spPr>
        <a:xfrm>
          <a:off x="8001000" y="25146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</a:p>
      </xdr:txBody>
    </xdr:sp>
    <xdr:clientData/>
  </xdr:twoCellAnchor>
  <xdr:twoCellAnchor>
    <xdr:from>
      <xdr:col>3</xdr:col>
      <xdr:colOff>581025</xdr:colOff>
      <xdr:row>20</xdr:row>
      <xdr:rowOff>180975</xdr:rowOff>
    </xdr:from>
    <xdr:to>
      <xdr:col>6</xdr:col>
      <xdr:colOff>495300</xdr:colOff>
      <xdr:row>21</xdr:row>
      <xdr:rowOff>0</xdr:rowOff>
    </xdr:to>
    <xdr:sp>
      <xdr:nvSpPr>
        <xdr:cNvPr id="30" name="Прямая соединительная линия 55"/>
        <xdr:cNvSpPr>
          <a:spLocks/>
        </xdr:cNvSpPr>
      </xdr:nvSpPr>
      <xdr:spPr>
        <a:xfrm rot="10800000" flipV="1">
          <a:off x="2409825" y="3990975"/>
          <a:ext cx="1743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142875</xdr:rowOff>
    </xdr:from>
    <xdr:to>
      <xdr:col>6</xdr:col>
      <xdr:colOff>28575</xdr:colOff>
      <xdr:row>15</xdr:row>
      <xdr:rowOff>142875</xdr:rowOff>
    </xdr:to>
    <xdr:sp>
      <xdr:nvSpPr>
        <xdr:cNvPr id="31" name="Прямая соединительная линия 58"/>
        <xdr:cNvSpPr>
          <a:spLocks/>
        </xdr:cNvSpPr>
      </xdr:nvSpPr>
      <xdr:spPr>
        <a:xfrm rot="5400000" flipH="1">
          <a:off x="2438400" y="30003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180975</xdr:rowOff>
    </xdr:from>
    <xdr:to>
      <xdr:col>5</xdr:col>
      <xdr:colOff>609600</xdr:colOff>
      <xdr:row>15</xdr:row>
      <xdr:rowOff>57150</xdr:rowOff>
    </xdr:to>
    <xdr:sp>
      <xdr:nvSpPr>
        <xdr:cNvPr id="32" name="Прямая соединительная линия 65"/>
        <xdr:cNvSpPr>
          <a:spLocks/>
        </xdr:cNvSpPr>
      </xdr:nvSpPr>
      <xdr:spPr>
        <a:xfrm flipH="1" flipV="1">
          <a:off x="3228975" y="2085975"/>
          <a:ext cx="428625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400050</xdr:colOff>
      <xdr:row>0</xdr:row>
      <xdr:rowOff>161925</xdr:rowOff>
    </xdr:from>
    <xdr:to>
      <xdr:col>12</xdr:col>
      <xdr:colOff>276225</xdr:colOff>
      <xdr:row>5</xdr:row>
      <xdr:rowOff>104775</xdr:rowOff>
    </xdr:to>
    <xdr:sp>
      <xdr:nvSpPr>
        <xdr:cNvPr id="33" name="Прямая соединительная линия 67"/>
        <xdr:cNvSpPr>
          <a:spLocks/>
        </xdr:cNvSpPr>
      </xdr:nvSpPr>
      <xdr:spPr>
        <a:xfrm rot="16200000" flipV="1">
          <a:off x="7105650" y="161925"/>
          <a:ext cx="4857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4</xdr:row>
      <xdr:rowOff>28575</xdr:rowOff>
    </xdr:from>
    <xdr:to>
      <xdr:col>14</xdr:col>
      <xdr:colOff>0</xdr:colOff>
      <xdr:row>5</xdr:row>
      <xdr:rowOff>85725</xdr:rowOff>
    </xdr:to>
    <xdr:sp>
      <xdr:nvSpPr>
        <xdr:cNvPr id="34" name="Прямая соединительная линия 71"/>
        <xdr:cNvSpPr>
          <a:spLocks/>
        </xdr:cNvSpPr>
      </xdr:nvSpPr>
      <xdr:spPr>
        <a:xfrm rot="5400000" flipH="1" flipV="1">
          <a:off x="7648575" y="790575"/>
          <a:ext cx="8858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12</xdr:row>
      <xdr:rowOff>161925</xdr:rowOff>
    </xdr:from>
    <xdr:to>
      <xdr:col>14</xdr:col>
      <xdr:colOff>419100</xdr:colOff>
      <xdr:row>13</xdr:row>
      <xdr:rowOff>152400</xdr:rowOff>
    </xdr:to>
    <xdr:sp>
      <xdr:nvSpPr>
        <xdr:cNvPr id="35" name="Прямая соединительная линия 73"/>
        <xdr:cNvSpPr>
          <a:spLocks/>
        </xdr:cNvSpPr>
      </xdr:nvSpPr>
      <xdr:spPr>
        <a:xfrm flipV="1">
          <a:off x="8010525" y="2447925"/>
          <a:ext cx="9429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161925</xdr:rowOff>
    </xdr:from>
    <xdr:to>
      <xdr:col>11</xdr:col>
      <xdr:colOff>390525</xdr:colOff>
      <xdr:row>10</xdr:row>
      <xdr:rowOff>180975</xdr:rowOff>
    </xdr:to>
    <xdr:sp>
      <xdr:nvSpPr>
        <xdr:cNvPr id="36" name="Прямая со стрелкой 76"/>
        <xdr:cNvSpPr>
          <a:spLocks/>
        </xdr:cNvSpPr>
      </xdr:nvSpPr>
      <xdr:spPr>
        <a:xfrm flipV="1">
          <a:off x="3238500" y="161925"/>
          <a:ext cx="3857625" cy="1924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152400</xdr:rowOff>
    </xdr:from>
    <xdr:to>
      <xdr:col>4</xdr:col>
      <xdr:colOff>38100</xdr:colOff>
      <xdr:row>21</xdr:row>
      <xdr:rowOff>9525</xdr:rowOff>
    </xdr:to>
    <xdr:sp>
      <xdr:nvSpPr>
        <xdr:cNvPr id="37" name="Прямая со стрелкой 79"/>
        <xdr:cNvSpPr>
          <a:spLocks/>
        </xdr:cNvSpPr>
      </xdr:nvSpPr>
      <xdr:spPr>
        <a:xfrm rot="16200000" flipH="1">
          <a:off x="2466975" y="3009900"/>
          <a:ext cx="9525" cy="1000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4</xdr:row>
      <xdr:rowOff>28575</xdr:rowOff>
    </xdr:from>
    <xdr:to>
      <xdr:col>14</xdr:col>
      <xdr:colOff>409575</xdr:colOff>
      <xdr:row>12</xdr:row>
      <xdr:rowOff>180975</xdr:rowOff>
    </xdr:to>
    <xdr:sp>
      <xdr:nvSpPr>
        <xdr:cNvPr id="38" name="Прямая со стрелкой 82"/>
        <xdr:cNvSpPr>
          <a:spLocks/>
        </xdr:cNvSpPr>
      </xdr:nvSpPr>
      <xdr:spPr>
        <a:xfrm rot="16200000" flipH="1">
          <a:off x="8505825" y="790575"/>
          <a:ext cx="438150" cy="1676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66675</xdr:rowOff>
    </xdr:from>
    <xdr:to>
      <xdr:col>14</xdr:col>
      <xdr:colOff>590550</xdr:colOff>
      <xdr:row>8</xdr:row>
      <xdr:rowOff>114300</xdr:rowOff>
    </xdr:to>
    <xdr:sp>
      <xdr:nvSpPr>
        <xdr:cNvPr id="39" name="TextBox 94"/>
        <xdr:cNvSpPr txBox="1">
          <a:spLocks noChangeArrowheads="1"/>
        </xdr:cNvSpPr>
      </xdr:nvSpPr>
      <xdr:spPr>
        <a:xfrm>
          <a:off x="8801100" y="1209675"/>
          <a:ext cx="323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8</xdr:col>
      <xdr:colOff>295275</xdr:colOff>
      <xdr:row>10</xdr:row>
      <xdr:rowOff>133350</xdr:rowOff>
    </xdr:from>
    <xdr:to>
      <xdr:col>8</xdr:col>
      <xdr:colOff>371475</xdr:colOff>
      <xdr:row>11</xdr:row>
      <xdr:rowOff>19050</xdr:rowOff>
    </xdr:to>
    <xdr:sp>
      <xdr:nvSpPr>
        <xdr:cNvPr id="40" name="Овал 43"/>
        <xdr:cNvSpPr>
          <a:spLocks/>
        </xdr:cNvSpPr>
      </xdr:nvSpPr>
      <xdr:spPr>
        <a:xfrm>
          <a:off x="5172075" y="2038350"/>
          <a:ext cx="76200" cy="76200"/>
        </a:xfrm>
        <a:prstGeom prst="ellips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171450</xdr:rowOff>
    </xdr:from>
    <xdr:to>
      <xdr:col>8</xdr:col>
      <xdr:colOff>238125</xdr:colOff>
      <xdr:row>11</xdr:row>
      <xdr:rowOff>47625</xdr:rowOff>
    </xdr:to>
    <xdr:sp>
      <xdr:nvSpPr>
        <xdr:cNvPr id="41" name="TextBox 49"/>
        <xdr:cNvSpPr txBox="1">
          <a:spLocks noChangeArrowheads="1"/>
        </xdr:cNvSpPr>
      </xdr:nvSpPr>
      <xdr:spPr>
        <a:xfrm>
          <a:off x="4867275" y="188595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</a:p>
      </xdr:txBody>
    </xdr:sp>
    <xdr:clientData/>
  </xdr:twoCellAnchor>
  <xdr:twoCellAnchor>
    <xdr:from>
      <xdr:col>13</xdr:col>
      <xdr:colOff>76200</xdr:colOff>
      <xdr:row>12</xdr:row>
      <xdr:rowOff>38100</xdr:rowOff>
    </xdr:from>
    <xdr:to>
      <xdr:col>13</xdr:col>
      <xdr:colOff>123825</xdr:colOff>
      <xdr:row>12</xdr:row>
      <xdr:rowOff>95250</xdr:rowOff>
    </xdr:to>
    <xdr:sp>
      <xdr:nvSpPr>
        <xdr:cNvPr id="42" name="Блок-схема: узел 51"/>
        <xdr:cNvSpPr>
          <a:spLocks/>
        </xdr:cNvSpPr>
      </xdr:nvSpPr>
      <xdr:spPr>
        <a:xfrm>
          <a:off x="8001000" y="2324100"/>
          <a:ext cx="47625" cy="57150"/>
        </a:xfrm>
        <a:prstGeom prst="flowChartConnector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171450</xdr:colOff>
      <xdr:row>11</xdr:row>
      <xdr:rowOff>57150</xdr:rowOff>
    </xdr:from>
    <xdr:ext cx="571500" cy="457200"/>
    <xdr:sp>
      <xdr:nvSpPr>
        <xdr:cNvPr id="43" name="TextBox 54"/>
        <xdr:cNvSpPr txBox="1">
          <a:spLocks noChangeArrowheads="1"/>
        </xdr:cNvSpPr>
      </xdr:nvSpPr>
      <xdr:spPr>
        <a:xfrm>
          <a:off x="8096250" y="215265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M5=T5
</a:t>
          </a:r>
        </a:p>
      </xdr:txBody>
    </xdr:sp>
    <xdr:clientData/>
  </xdr:oneCellAnchor>
  <xdr:twoCellAnchor>
    <xdr:from>
      <xdr:col>6</xdr:col>
      <xdr:colOff>561975</xdr:colOff>
      <xdr:row>20</xdr:row>
      <xdr:rowOff>180975</xdr:rowOff>
    </xdr:from>
    <xdr:to>
      <xdr:col>7</xdr:col>
      <xdr:colOff>295275</xdr:colOff>
      <xdr:row>20</xdr:row>
      <xdr:rowOff>180975</xdr:rowOff>
    </xdr:to>
    <xdr:sp>
      <xdr:nvSpPr>
        <xdr:cNvPr id="44" name="Прямая соединительная линия 64"/>
        <xdr:cNvSpPr>
          <a:spLocks/>
        </xdr:cNvSpPr>
      </xdr:nvSpPr>
      <xdr:spPr>
        <a:xfrm rot="16200000" flipH="1">
          <a:off x="4219575" y="3990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5</xdr:row>
      <xdr:rowOff>9525</xdr:rowOff>
    </xdr:from>
    <xdr:to>
      <xdr:col>12</xdr:col>
      <xdr:colOff>514350</xdr:colOff>
      <xdr:row>5</xdr:row>
      <xdr:rowOff>9525</xdr:rowOff>
    </xdr:to>
    <xdr:sp>
      <xdr:nvSpPr>
        <xdr:cNvPr id="45" name="Прямая соединительная линия 69"/>
        <xdr:cNvSpPr>
          <a:spLocks/>
        </xdr:cNvSpPr>
      </xdr:nvSpPr>
      <xdr:spPr>
        <a:xfrm rot="5400000" flipH="1" flipV="1">
          <a:off x="7620000" y="962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285750</xdr:colOff>
      <xdr:row>5</xdr:row>
      <xdr:rowOff>9525</xdr:rowOff>
    </xdr:from>
    <xdr:ext cx="180975" cy="266700"/>
    <xdr:sp>
      <xdr:nvSpPr>
        <xdr:cNvPr id="46" name="TextBox 72"/>
        <xdr:cNvSpPr txBox="1">
          <a:spLocks noChangeArrowheads="1"/>
        </xdr:cNvSpPr>
      </xdr:nvSpPr>
      <xdr:spPr>
        <a:xfrm>
          <a:off x="7600950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Θ</a:t>
          </a:r>
        </a:p>
      </xdr:txBody>
    </xdr:sp>
    <xdr:clientData/>
  </xdr:oneCellAnchor>
  <xdr:oneCellAnchor>
    <xdr:from>
      <xdr:col>6</xdr:col>
      <xdr:colOff>85725</xdr:colOff>
      <xdr:row>15</xdr:row>
      <xdr:rowOff>47625</xdr:rowOff>
    </xdr:from>
    <xdr:ext cx="152400" cy="266700"/>
    <xdr:sp>
      <xdr:nvSpPr>
        <xdr:cNvPr id="47" name="TextBox 75"/>
        <xdr:cNvSpPr txBox="1">
          <a:spLocks noChangeArrowheads="1"/>
        </xdr:cNvSpPr>
      </xdr:nvSpPr>
      <xdr:spPr>
        <a:xfrm>
          <a:off x="3743325" y="2905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Ψ</a:t>
          </a:r>
        </a:p>
      </xdr:txBody>
    </xdr:sp>
    <xdr:clientData/>
  </xdr:oneCellAnchor>
  <xdr:oneCellAnchor>
    <xdr:from>
      <xdr:col>6</xdr:col>
      <xdr:colOff>561975</xdr:colOff>
      <xdr:row>19</xdr:row>
      <xdr:rowOff>19050</xdr:rowOff>
    </xdr:from>
    <xdr:ext cx="285750" cy="257175"/>
    <xdr:sp>
      <xdr:nvSpPr>
        <xdr:cNvPr id="48" name="TextBox 77"/>
        <xdr:cNvSpPr txBox="1">
          <a:spLocks noChangeArrowheads="1"/>
        </xdr:cNvSpPr>
      </xdr:nvSpPr>
      <xdr:spPr>
        <a:xfrm>
          <a:off x="4219575" y="36385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</a:t>
          </a:r>
        </a:p>
      </xdr:txBody>
    </xdr:sp>
    <xdr:clientData/>
  </xdr:oneCellAnchor>
  <xdr:twoCellAnchor>
    <xdr:from>
      <xdr:col>5</xdr:col>
      <xdr:colOff>581025</xdr:colOff>
      <xdr:row>18</xdr:row>
      <xdr:rowOff>47625</xdr:rowOff>
    </xdr:from>
    <xdr:to>
      <xdr:col>6</xdr:col>
      <xdr:colOff>228600</xdr:colOff>
      <xdr:row>18</xdr:row>
      <xdr:rowOff>66675</xdr:rowOff>
    </xdr:to>
    <xdr:sp>
      <xdr:nvSpPr>
        <xdr:cNvPr id="49" name="Прямая со стрелкой 80"/>
        <xdr:cNvSpPr>
          <a:spLocks/>
        </xdr:cNvSpPr>
      </xdr:nvSpPr>
      <xdr:spPr>
        <a:xfrm flipV="1">
          <a:off x="3629025" y="3476625"/>
          <a:ext cx="257175" cy="1905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66675</xdr:rowOff>
    </xdr:from>
    <xdr:to>
      <xdr:col>7</xdr:col>
      <xdr:colOff>600075</xdr:colOff>
      <xdr:row>12</xdr:row>
      <xdr:rowOff>76200</xdr:rowOff>
    </xdr:to>
    <xdr:sp>
      <xdr:nvSpPr>
        <xdr:cNvPr id="50" name="Прямая со стрелкой 86"/>
        <xdr:cNvSpPr>
          <a:spLocks/>
        </xdr:cNvSpPr>
      </xdr:nvSpPr>
      <xdr:spPr>
        <a:xfrm flipV="1">
          <a:off x="4362450" y="2352675"/>
          <a:ext cx="504825" cy="95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85725</xdr:rowOff>
    </xdr:from>
    <xdr:to>
      <xdr:col>9</xdr:col>
      <xdr:colOff>209550</xdr:colOff>
      <xdr:row>9</xdr:row>
      <xdr:rowOff>152400</xdr:rowOff>
    </xdr:to>
    <xdr:sp>
      <xdr:nvSpPr>
        <xdr:cNvPr id="51" name="Прямая со стрелкой 88"/>
        <xdr:cNvSpPr>
          <a:spLocks/>
        </xdr:cNvSpPr>
      </xdr:nvSpPr>
      <xdr:spPr>
        <a:xfrm>
          <a:off x="5353050" y="1800225"/>
          <a:ext cx="342900" cy="666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523875</xdr:colOff>
      <xdr:row>10</xdr:row>
      <xdr:rowOff>104775</xdr:rowOff>
    </xdr:from>
    <xdr:to>
      <xdr:col>13</xdr:col>
      <xdr:colOff>228600</xdr:colOff>
      <xdr:row>10</xdr:row>
      <xdr:rowOff>161925</xdr:rowOff>
    </xdr:to>
    <xdr:sp>
      <xdr:nvSpPr>
        <xdr:cNvPr id="52" name="Прямая со стрелкой 90"/>
        <xdr:cNvSpPr>
          <a:spLocks/>
        </xdr:cNvSpPr>
      </xdr:nvSpPr>
      <xdr:spPr>
        <a:xfrm rot="10800000" flipV="1">
          <a:off x="7839075" y="2009775"/>
          <a:ext cx="314325" cy="5715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15</xdr:row>
      <xdr:rowOff>19050</xdr:rowOff>
    </xdr:from>
    <xdr:to>
      <xdr:col>13</xdr:col>
      <xdr:colOff>533400</xdr:colOff>
      <xdr:row>15</xdr:row>
      <xdr:rowOff>19050</xdr:rowOff>
    </xdr:to>
    <xdr:sp>
      <xdr:nvSpPr>
        <xdr:cNvPr id="53" name="Прямая со стрелкой 95"/>
        <xdr:cNvSpPr>
          <a:spLocks/>
        </xdr:cNvSpPr>
      </xdr:nvSpPr>
      <xdr:spPr>
        <a:xfrm rot="10800000">
          <a:off x="8010525" y="2876550"/>
          <a:ext cx="44767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14</xdr:row>
      <xdr:rowOff>19050</xdr:rowOff>
    </xdr:from>
    <xdr:to>
      <xdr:col>14</xdr:col>
      <xdr:colOff>276225</xdr:colOff>
      <xdr:row>14</xdr:row>
      <xdr:rowOff>123825</xdr:rowOff>
    </xdr:to>
    <xdr:sp>
      <xdr:nvSpPr>
        <xdr:cNvPr id="54" name="TextBox 97"/>
        <xdr:cNvSpPr txBox="1">
          <a:spLocks noChangeArrowheads="1"/>
        </xdr:cNvSpPr>
      </xdr:nvSpPr>
      <xdr:spPr>
        <a:xfrm>
          <a:off x="8153400" y="2686050"/>
          <a:ext cx="6572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звено 5</a:t>
          </a:r>
        </a:p>
      </xdr:txBody>
    </xdr:sp>
    <xdr:clientData/>
  </xdr:twoCellAnchor>
  <xdr:twoCellAnchor>
    <xdr:from>
      <xdr:col>13</xdr:col>
      <xdr:colOff>57150</xdr:colOff>
      <xdr:row>9</xdr:row>
      <xdr:rowOff>152400</xdr:rowOff>
    </xdr:from>
    <xdr:to>
      <xdr:col>14</xdr:col>
      <xdr:colOff>85725</xdr:colOff>
      <xdr:row>10</xdr:row>
      <xdr:rowOff>85725</xdr:rowOff>
    </xdr:to>
    <xdr:sp>
      <xdr:nvSpPr>
        <xdr:cNvPr id="55" name="TextBox 98"/>
        <xdr:cNvSpPr txBox="1">
          <a:spLocks noChangeArrowheads="1"/>
        </xdr:cNvSpPr>
      </xdr:nvSpPr>
      <xdr:spPr>
        <a:xfrm>
          <a:off x="7981950" y="186690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звено 4</a:t>
          </a:r>
        </a:p>
      </xdr:txBody>
    </xdr:sp>
    <xdr:clientData/>
  </xdr:twoCellAnchor>
  <xdr:twoCellAnchor>
    <xdr:from>
      <xdr:col>6</xdr:col>
      <xdr:colOff>571500</xdr:colOff>
      <xdr:row>11</xdr:row>
      <xdr:rowOff>104775</xdr:rowOff>
    </xdr:from>
    <xdr:to>
      <xdr:col>7</xdr:col>
      <xdr:colOff>485775</xdr:colOff>
      <xdr:row>12</xdr:row>
      <xdr:rowOff>9525</xdr:rowOff>
    </xdr:to>
    <xdr:sp>
      <xdr:nvSpPr>
        <xdr:cNvPr id="56" name="TextBox 99"/>
        <xdr:cNvSpPr txBox="1">
          <a:spLocks noChangeArrowheads="1"/>
        </xdr:cNvSpPr>
      </xdr:nvSpPr>
      <xdr:spPr>
        <a:xfrm>
          <a:off x="4229100" y="2200275"/>
          <a:ext cx="5238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звено 2</a:t>
          </a:r>
        </a:p>
      </xdr:txBody>
    </xdr:sp>
    <xdr:clientData/>
  </xdr:twoCellAnchor>
  <xdr:twoCellAnchor>
    <xdr:from>
      <xdr:col>8</xdr:col>
      <xdr:colOff>114300</xdr:colOff>
      <xdr:row>8</xdr:row>
      <xdr:rowOff>133350</xdr:rowOff>
    </xdr:from>
    <xdr:to>
      <xdr:col>9</xdr:col>
      <xdr:colOff>66675</xdr:colOff>
      <xdr:row>9</xdr:row>
      <xdr:rowOff>57150</xdr:rowOff>
    </xdr:to>
    <xdr:sp>
      <xdr:nvSpPr>
        <xdr:cNvPr id="57" name="TextBox 100"/>
        <xdr:cNvSpPr txBox="1">
          <a:spLocks noChangeArrowheads="1"/>
        </xdr:cNvSpPr>
      </xdr:nvSpPr>
      <xdr:spPr>
        <a:xfrm>
          <a:off x="4991100" y="1657350"/>
          <a:ext cx="5619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звено 3</a:t>
          </a:r>
        </a:p>
      </xdr:txBody>
    </xdr:sp>
    <xdr:clientData/>
  </xdr:twoCellAnchor>
  <xdr:twoCellAnchor>
    <xdr:from>
      <xdr:col>5</xdr:col>
      <xdr:colOff>95250</xdr:colOff>
      <xdr:row>17</xdr:row>
      <xdr:rowOff>104775</xdr:rowOff>
    </xdr:from>
    <xdr:to>
      <xdr:col>6</xdr:col>
      <xdr:colOff>38100</xdr:colOff>
      <xdr:row>18</xdr:row>
      <xdr:rowOff>142875</xdr:rowOff>
    </xdr:to>
    <xdr:sp>
      <xdr:nvSpPr>
        <xdr:cNvPr id="58" name="TextBox 101"/>
        <xdr:cNvSpPr txBox="1">
          <a:spLocks noChangeArrowheads="1"/>
        </xdr:cNvSpPr>
      </xdr:nvSpPr>
      <xdr:spPr>
        <a:xfrm>
          <a:off x="3143250" y="334327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звено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8</xdr:col>
      <xdr:colOff>295275</xdr:colOff>
      <xdr:row>15</xdr:row>
      <xdr:rowOff>76200</xdr:rowOff>
    </xdr:to>
    <xdr:graphicFrame>
      <xdr:nvGraphicFramePr>
        <xdr:cNvPr id="1" name="Диаграмма 1"/>
        <xdr:cNvGraphicFramePr/>
      </xdr:nvGraphicFramePr>
      <xdr:xfrm>
        <a:off x="600075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9525</xdr:rowOff>
    </xdr:from>
    <xdr:to>
      <xdr:col>8</xdr:col>
      <xdr:colOff>304800</xdr:colOff>
      <xdr:row>31</xdr:row>
      <xdr:rowOff>85725</xdr:rowOff>
    </xdr:to>
    <xdr:graphicFrame>
      <xdr:nvGraphicFramePr>
        <xdr:cNvPr id="2" name="Диаграмма 2"/>
        <xdr:cNvGraphicFramePr/>
      </xdr:nvGraphicFramePr>
      <xdr:xfrm>
        <a:off x="609600" y="3248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</xdr:rowOff>
    </xdr:from>
    <xdr:to>
      <xdr:col>8</xdr:col>
      <xdr:colOff>304800</xdr:colOff>
      <xdr:row>47</xdr:row>
      <xdr:rowOff>85725</xdr:rowOff>
    </xdr:to>
    <xdr:graphicFrame>
      <xdr:nvGraphicFramePr>
        <xdr:cNvPr id="3" name="Диаграмма 3"/>
        <xdr:cNvGraphicFramePr/>
      </xdr:nvGraphicFramePr>
      <xdr:xfrm>
        <a:off x="609600" y="6296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8</xdr:col>
      <xdr:colOff>304800</xdr:colOff>
      <xdr:row>64</xdr:row>
      <xdr:rowOff>76200</xdr:rowOff>
    </xdr:to>
    <xdr:graphicFrame>
      <xdr:nvGraphicFramePr>
        <xdr:cNvPr id="4" name="Диаграмма 4"/>
        <xdr:cNvGraphicFramePr/>
      </xdr:nvGraphicFramePr>
      <xdr:xfrm>
        <a:off x="609600" y="95250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8</xdr:col>
      <xdr:colOff>304800</xdr:colOff>
      <xdr:row>89</xdr:row>
      <xdr:rowOff>85725</xdr:rowOff>
    </xdr:to>
    <xdr:graphicFrame>
      <xdr:nvGraphicFramePr>
        <xdr:cNvPr id="5" name="Диаграмма 5"/>
        <xdr:cNvGraphicFramePr/>
      </xdr:nvGraphicFramePr>
      <xdr:xfrm>
        <a:off x="609600" y="12763500"/>
        <a:ext cx="4572000" cy="4276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304800</xdr:colOff>
      <xdr:row>106</xdr:row>
      <xdr:rowOff>76200</xdr:rowOff>
    </xdr:to>
    <xdr:graphicFrame>
      <xdr:nvGraphicFramePr>
        <xdr:cNvPr id="6" name="Диаграмма 6"/>
        <xdr:cNvGraphicFramePr/>
      </xdr:nvGraphicFramePr>
      <xdr:xfrm>
        <a:off x="609600" y="175260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304800</xdr:colOff>
      <xdr:row>122</xdr:row>
      <xdr:rowOff>76200</xdr:rowOff>
    </xdr:to>
    <xdr:graphicFrame>
      <xdr:nvGraphicFramePr>
        <xdr:cNvPr id="7" name="Диаграмма 7"/>
        <xdr:cNvGraphicFramePr/>
      </xdr:nvGraphicFramePr>
      <xdr:xfrm>
        <a:off x="609600" y="20574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8</xdr:col>
      <xdr:colOff>304800</xdr:colOff>
      <xdr:row>139</xdr:row>
      <xdr:rowOff>76200</xdr:rowOff>
    </xdr:to>
    <xdr:graphicFrame>
      <xdr:nvGraphicFramePr>
        <xdr:cNvPr id="8" name="Диаграмма 8"/>
        <xdr:cNvGraphicFramePr/>
      </xdr:nvGraphicFramePr>
      <xdr:xfrm>
        <a:off x="609600" y="23812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609600</xdr:colOff>
      <xdr:row>1</xdr:row>
      <xdr:rowOff>0</xdr:rowOff>
    </xdr:from>
    <xdr:to>
      <xdr:col>18</xdr:col>
      <xdr:colOff>104775</xdr:colOff>
      <xdr:row>16</xdr:row>
      <xdr:rowOff>133350</xdr:rowOff>
    </xdr:to>
    <xdr:graphicFrame>
      <xdr:nvGraphicFramePr>
        <xdr:cNvPr id="9" name="Диаграмма 10"/>
        <xdr:cNvGraphicFramePr/>
      </xdr:nvGraphicFramePr>
      <xdr:xfrm>
        <a:off x="6096000" y="190500"/>
        <a:ext cx="498157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108</xdr:row>
      <xdr:rowOff>0</xdr:rowOff>
    </xdr:from>
    <xdr:to>
      <xdr:col>18</xdr:col>
      <xdr:colOff>304800</xdr:colOff>
      <xdr:row>122</xdr:row>
      <xdr:rowOff>76200</xdr:rowOff>
    </xdr:to>
    <xdr:graphicFrame>
      <xdr:nvGraphicFramePr>
        <xdr:cNvPr id="10" name="Диаграмма 11"/>
        <xdr:cNvGraphicFramePr/>
      </xdr:nvGraphicFramePr>
      <xdr:xfrm>
        <a:off x="6705600" y="205740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304800</xdr:colOff>
      <xdr:row>106</xdr:row>
      <xdr:rowOff>76200</xdr:rowOff>
    </xdr:to>
    <xdr:graphicFrame>
      <xdr:nvGraphicFramePr>
        <xdr:cNvPr id="11" name="Диаграмма 12"/>
        <xdr:cNvGraphicFramePr/>
      </xdr:nvGraphicFramePr>
      <xdr:xfrm>
        <a:off x="6096000" y="175260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17</xdr:col>
      <xdr:colOff>304800</xdr:colOff>
      <xdr:row>81</xdr:row>
      <xdr:rowOff>76200</xdr:rowOff>
    </xdr:to>
    <xdr:graphicFrame>
      <xdr:nvGraphicFramePr>
        <xdr:cNvPr id="12" name="Диаграмма 13"/>
        <xdr:cNvGraphicFramePr/>
      </xdr:nvGraphicFramePr>
      <xdr:xfrm>
        <a:off x="6096000" y="127635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304800</xdr:colOff>
      <xdr:row>47</xdr:row>
      <xdr:rowOff>76200</xdr:rowOff>
    </xdr:to>
    <xdr:graphicFrame>
      <xdr:nvGraphicFramePr>
        <xdr:cNvPr id="13" name="Диаграмма 14"/>
        <xdr:cNvGraphicFramePr/>
      </xdr:nvGraphicFramePr>
      <xdr:xfrm>
        <a:off x="6096000" y="62865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25</xdr:col>
      <xdr:colOff>304800</xdr:colOff>
      <xdr:row>81</xdr:row>
      <xdr:rowOff>76200</xdr:rowOff>
    </xdr:to>
    <xdr:graphicFrame>
      <xdr:nvGraphicFramePr>
        <xdr:cNvPr id="14" name="Диаграмма 15"/>
        <xdr:cNvGraphicFramePr/>
      </xdr:nvGraphicFramePr>
      <xdr:xfrm>
        <a:off x="10972800" y="127635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144</xdr:row>
      <xdr:rowOff>28575</xdr:rowOff>
    </xdr:from>
    <xdr:to>
      <xdr:col>12</xdr:col>
      <xdr:colOff>476250</xdr:colOff>
      <xdr:row>157</xdr:row>
      <xdr:rowOff>161925</xdr:rowOff>
    </xdr:to>
    <xdr:graphicFrame>
      <xdr:nvGraphicFramePr>
        <xdr:cNvPr id="15" name="Chart 393"/>
        <xdr:cNvGraphicFramePr/>
      </xdr:nvGraphicFramePr>
      <xdr:xfrm>
        <a:off x="1219200" y="27460575"/>
        <a:ext cx="6572250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361950</xdr:colOff>
      <xdr:row>136</xdr:row>
      <xdr:rowOff>47625</xdr:rowOff>
    </xdr:from>
    <xdr:to>
      <xdr:col>17</xdr:col>
      <xdr:colOff>228600</xdr:colOff>
      <xdr:row>151</xdr:row>
      <xdr:rowOff>38100</xdr:rowOff>
    </xdr:to>
    <xdr:graphicFrame>
      <xdr:nvGraphicFramePr>
        <xdr:cNvPr id="16" name="Chart 394"/>
        <xdr:cNvGraphicFramePr/>
      </xdr:nvGraphicFramePr>
      <xdr:xfrm>
        <a:off x="4019550" y="25955625"/>
        <a:ext cx="6572250" cy="2847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171450</xdr:colOff>
      <xdr:row>160</xdr:row>
      <xdr:rowOff>142875</xdr:rowOff>
    </xdr:from>
    <xdr:to>
      <xdr:col>10</xdr:col>
      <xdr:colOff>514350</xdr:colOff>
      <xdr:row>175</xdr:row>
      <xdr:rowOff>38100</xdr:rowOff>
    </xdr:to>
    <xdr:graphicFrame>
      <xdr:nvGraphicFramePr>
        <xdr:cNvPr id="17" name="Chart 339"/>
        <xdr:cNvGraphicFramePr/>
      </xdr:nvGraphicFramePr>
      <xdr:xfrm>
        <a:off x="1390650" y="30622875"/>
        <a:ext cx="521970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171450</xdr:colOff>
      <xdr:row>178</xdr:row>
      <xdr:rowOff>9525</xdr:rowOff>
    </xdr:from>
    <xdr:to>
      <xdr:col>10</xdr:col>
      <xdr:colOff>514350</xdr:colOff>
      <xdr:row>192</xdr:row>
      <xdr:rowOff>104775</xdr:rowOff>
    </xdr:to>
    <xdr:graphicFrame>
      <xdr:nvGraphicFramePr>
        <xdr:cNvPr id="18" name="Chart 340"/>
        <xdr:cNvGraphicFramePr/>
      </xdr:nvGraphicFramePr>
      <xdr:xfrm>
        <a:off x="1390650" y="33918525"/>
        <a:ext cx="5219700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266700</xdr:colOff>
      <xdr:row>195</xdr:row>
      <xdr:rowOff>114300</xdr:rowOff>
    </xdr:from>
    <xdr:to>
      <xdr:col>11</xdr:col>
      <xdr:colOff>0</xdr:colOff>
      <xdr:row>210</xdr:row>
      <xdr:rowOff>9525</xdr:rowOff>
    </xdr:to>
    <xdr:graphicFrame>
      <xdr:nvGraphicFramePr>
        <xdr:cNvPr id="19" name="Chart 341"/>
        <xdr:cNvGraphicFramePr/>
      </xdr:nvGraphicFramePr>
      <xdr:xfrm>
        <a:off x="1485900" y="37261800"/>
        <a:ext cx="5219700" cy="2752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419100</xdr:colOff>
      <xdr:row>213</xdr:row>
      <xdr:rowOff>161925</xdr:rowOff>
    </xdr:from>
    <xdr:to>
      <xdr:col>10</xdr:col>
      <xdr:colOff>504825</xdr:colOff>
      <xdr:row>226</xdr:row>
      <xdr:rowOff>114300</xdr:rowOff>
    </xdr:to>
    <xdr:graphicFrame>
      <xdr:nvGraphicFramePr>
        <xdr:cNvPr id="20" name="Chart 342"/>
        <xdr:cNvGraphicFramePr/>
      </xdr:nvGraphicFramePr>
      <xdr:xfrm>
        <a:off x="1638300" y="40738425"/>
        <a:ext cx="4962525" cy="2428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229</xdr:row>
      <xdr:rowOff>19050</xdr:rowOff>
    </xdr:from>
    <xdr:to>
      <xdr:col>11</xdr:col>
      <xdr:colOff>152400</xdr:colOff>
      <xdr:row>246</xdr:row>
      <xdr:rowOff>66675</xdr:rowOff>
    </xdr:to>
    <xdr:graphicFrame>
      <xdr:nvGraphicFramePr>
        <xdr:cNvPr id="21" name="Chart 403"/>
        <xdr:cNvGraphicFramePr/>
      </xdr:nvGraphicFramePr>
      <xdr:xfrm>
        <a:off x="1828800" y="43643550"/>
        <a:ext cx="5029200" cy="3286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4"/>
  <sheetViews>
    <sheetView tabSelected="1" zoomScalePageLayoutView="0" workbookViewId="0" topLeftCell="A11">
      <pane ySplit="4140" topLeftCell="BM243" activePane="topLeft" state="split"/>
      <selection pane="topLeft" activeCell="B14" sqref="B14"/>
      <selection pane="bottomLeft" activeCell="C248" sqref="C248"/>
    </sheetView>
  </sheetViews>
  <sheetFormatPr defaultColWidth="0" defaultRowHeight="15"/>
  <cols>
    <col min="1" max="1" width="29.00390625" style="55" customWidth="1"/>
    <col min="2" max="2" width="6.7109375" style="205" customWidth="1"/>
    <col min="3" max="3" width="7.7109375" style="205" customWidth="1"/>
    <col min="4" max="4" width="7.8515625" style="205" customWidth="1"/>
    <col min="5" max="5" width="7.421875" style="205" customWidth="1"/>
    <col min="6" max="6" width="6.28125" style="205" customWidth="1"/>
    <col min="7" max="7" width="7.421875" style="205" customWidth="1"/>
    <col min="8" max="9" width="6.28125" style="205" customWidth="1"/>
    <col min="10" max="10" width="7.00390625" style="205" customWidth="1"/>
    <col min="11" max="11" width="7.421875" style="205" customWidth="1"/>
    <col min="12" max="12" width="10.140625" style="205" customWidth="1"/>
    <col min="13" max="26" width="6.28125" style="205" customWidth="1"/>
    <col min="27" max="27" width="5.421875" style="88" customWidth="1"/>
    <col min="28" max="16384" width="0" style="206" hidden="1" customWidth="1"/>
  </cols>
  <sheetData>
    <row r="1" spans="1:27" s="108" customFormat="1" ht="15">
      <c r="A1" s="105"/>
      <c r="B1" s="84" t="s">
        <v>0</v>
      </c>
      <c r="C1" s="84"/>
      <c r="D1" s="84"/>
      <c r="E1" s="84" t="s">
        <v>1</v>
      </c>
      <c r="F1" s="84"/>
      <c r="G1" s="84"/>
      <c r="H1" s="84" t="s">
        <v>2</v>
      </c>
      <c r="I1" s="84"/>
      <c r="J1" s="84"/>
      <c r="K1" s="84"/>
      <c r="L1" s="84"/>
      <c r="M1" s="84"/>
      <c r="N1" s="84"/>
      <c r="O1" s="84"/>
      <c r="P1" s="84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/>
    </row>
    <row r="2" spans="1:27" s="108" customFormat="1" ht="15">
      <c r="A2" s="105"/>
      <c r="B2" s="247" t="s">
        <v>35</v>
      </c>
      <c r="C2" s="247"/>
      <c r="D2" s="84"/>
      <c r="E2" s="84" t="s">
        <v>36</v>
      </c>
      <c r="F2" s="84"/>
      <c r="G2" s="84"/>
      <c r="H2" s="109">
        <v>20</v>
      </c>
      <c r="I2" s="84"/>
      <c r="J2" s="84"/>
      <c r="K2" s="84"/>
      <c r="L2" s="84"/>
      <c r="M2" s="84"/>
      <c r="N2" s="84"/>
      <c r="O2" s="84"/>
      <c r="P2" s="84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</row>
    <row r="3" spans="1:27" s="114" customFormat="1" ht="15.75" thickBot="1">
      <c r="A3" s="105"/>
      <c r="B3" s="84"/>
      <c r="C3" s="84"/>
      <c r="D3" s="84"/>
      <c r="E3" s="84"/>
      <c r="F3" s="84"/>
      <c r="G3" s="84"/>
      <c r="H3" s="84" t="s">
        <v>3</v>
      </c>
      <c r="I3" s="84"/>
      <c r="J3" s="84"/>
      <c r="K3" s="84" t="s">
        <v>4</v>
      </c>
      <c r="L3" s="110">
        <v>9.81</v>
      </c>
      <c r="M3" s="84"/>
      <c r="N3" s="84"/>
      <c r="O3" s="84"/>
      <c r="P3" s="111" t="s">
        <v>173</v>
      </c>
      <c r="Q3" s="112"/>
      <c r="R3" s="112"/>
      <c r="S3" s="112"/>
      <c r="T3" s="113"/>
      <c r="U3" s="113"/>
      <c r="V3" s="113"/>
      <c r="W3" s="113"/>
      <c r="X3" s="113"/>
      <c r="Y3" s="113"/>
      <c r="Z3" s="113"/>
      <c r="AA3" s="93"/>
    </row>
    <row r="4" spans="1:27" s="114" customFormat="1" ht="15.75" thickBot="1">
      <c r="A4" s="115" t="s">
        <v>5</v>
      </c>
      <c r="B4" s="116" t="s">
        <v>6</v>
      </c>
      <c r="C4" s="116" t="s">
        <v>7</v>
      </c>
      <c r="D4" s="116" t="s">
        <v>6</v>
      </c>
      <c r="E4" s="85" t="s">
        <v>8</v>
      </c>
      <c r="F4" s="85" t="s">
        <v>9</v>
      </c>
      <c r="G4" s="85" t="s">
        <v>10</v>
      </c>
      <c r="H4" s="85" t="s">
        <v>8</v>
      </c>
      <c r="I4" s="85" t="s">
        <v>9</v>
      </c>
      <c r="J4" s="85" t="s">
        <v>10</v>
      </c>
      <c r="K4" s="85" t="s">
        <v>12</v>
      </c>
      <c r="L4" s="85" t="s">
        <v>11</v>
      </c>
      <c r="M4" s="117" t="s">
        <v>197</v>
      </c>
      <c r="N4" s="117" t="s">
        <v>79</v>
      </c>
      <c r="O4" s="118" t="s">
        <v>137</v>
      </c>
      <c r="P4" s="119"/>
      <c r="Q4" s="111" t="s">
        <v>174</v>
      </c>
      <c r="R4" s="112" t="s">
        <v>175</v>
      </c>
      <c r="S4" s="112" t="s">
        <v>176</v>
      </c>
      <c r="T4" s="113"/>
      <c r="U4" s="113"/>
      <c r="V4" s="113"/>
      <c r="W4" s="113"/>
      <c r="X4" s="113"/>
      <c r="Y4" s="113"/>
      <c r="Z4" s="113"/>
      <c r="AA4" s="93"/>
    </row>
    <row r="5" spans="1:27" s="114" customFormat="1" ht="15">
      <c r="A5" s="232" t="s">
        <v>13</v>
      </c>
      <c r="B5" s="120">
        <v>1</v>
      </c>
      <c r="C5" s="121" t="s">
        <v>14</v>
      </c>
      <c r="D5" s="121">
        <v>1</v>
      </c>
      <c r="E5" s="86" t="s">
        <v>15</v>
      </c>
      <c r="F5" s="122">
        <f>D5*COS(RADIANS(B5))</f>
        <v>0.9998476951563913</v>
      </c>
      <c r="G5" s="122">
        <f>D5*SIN(RADIANS(B5))</f>
        <v>0.01745240643728351</v>
      </c>
      <c r="H5" s="86" t="s">
        <v>16</v>
      </c>
      <c r="I5" s="122">
        <v>1</v>
      </c>
      <c r="J5" s="122">
        <v>4</v>
      </c>
      <c r="K5" s="122">
        <v>1</v>
      </c>
      <c r="L5" s="86">
        <f>O5*$L$3</f>
        <v>9.81</v>
      </c>
      <c r="M5" s="122">
        <v>0.2</v>
      </c>
      <c r="N5" s="122">
        <v>0.1</v>
      </c>
      <c r="O5" s="123">
        <v>1</v>
      </c>
      <c r="P5" s="124" t="s">
        <v>177</v>
      </c>
      <c r="Q5" s="112">
        <v>2.5</v>
      </c>
      <c r="R5" s="112">
        <v>0.3</v>
      </c>
      <c r="S5" s="112">
        <v>3</v>
      </c>
      <c r="T5" s="113"/>
      <c r="U5" s="113"/>
      <c r="V5" s="113"/>
      <c r="W5" s="113"/>
      <c r="X5" s="113"/>
      <c r="Y5" s="113"/>
      <c r="Z5" s="113"/>
      <c r="AA5" s="93"/>
    </row>
    <row r="6" spans="1:27" s="114" customFormat="1" ht="15">
      <c r="A6" s="233" t="s">
        <v>17</v>
      </c>
      <c r="B6" s="125">
        <v>1</v>
      </c>
      <c r="C6" s="120" t="s">
        <v>18</v>
      </c>
      <c r="D6" s="121">
        <v>2</v>
      </c>
      <c r="E6" s="86" t="s">
        <v>19</v>
      </c>
      <c r="F6" s="122">
        <f>F5+D6*COS(B57)</f>
        <v>2.8011515667169236</v>
      </c>
      <c r="G6" s="122">
        <f>G5+D6*SIN(B57)</f>
        <v>0.8865348894623628</v>
      </c>
      <c r="H6" s="86" t="s">
        <v>20</v>
      </c>
      <c r="I6" s="122">
        <v>2.1</v>
      </c>
      <c r="J6" s="122">
        <v>4.5</v>
      </c>
      <c r="K6" s="122">
        <v>2.7</v>
      </c>
      <c r="L6" s="86">
        <f>O6*$L$3</f>
        <v>15.696000000000002</v>
      </c>
      <c r="M6" s="122"/>
      <c r="N6" s="122"/>
      <c r="O6" s="123">
        <v>1.6</v>
      </c>
      <c r="P6" s="124" t="s">
        <v>178</v>
      </c>
      <c r="Q6" s="112">
        <v>0.2</v>
      </c>
      <c r="R6" s="112">
        <v>1.8</v>
      </c>
      <c r="S6" s="112">
        <v>8.3</v>
      </c>
      <c r="T6" s="113"/>
      <c r="U6" s="113"/>
      <c r="V6" s="113"/>
      <c r="W6" s="113"/>
      <c r="X6" s="113"/>
      <c r="Y6" s="113"/>
      <c r="Z6" s="113"/>
      <c r="AA6" s="93"/>
    </row>
    <row r="7" spans="1:27" s="114" customFormat="1" ht="15">
      <c r="A7" s="233" t="s">
        <v>21</v>
      </c>
      <c r="B7" s="125">
        <v>0</v>
      </c>
      <c r="C7" s="125" t="s">
        <v>22</v>
      </c>
      <c r="D7" s="125">
        <v>3</v>
      </c>
      <c r="E7" s="85" t="s">
        <v>25</v>
      </c>
      <c r="F7" s="117">
        <f>$F$6+COS(B117)*$D$7</f>
        <v>2.877338089850433</v>
      </c>
      <c r="G7" s="117">
        <f>$G$6+SIN(B117)*$D$7</f>
        <v>3.8855673357177922</v>
      </c>
      <c r="H7" s="85" t="s">
        <v>23</v>
      </c>
      <c r="I7" s="117">
        <v>4.2</v>
      </c>
      <c r="J7" s="117">
        <v>1.5</v>
      </c>
      <c r="K7" s="117">
        <v>3.1</v>
      </c>
      <c r="L7" s="85">
        <f>O7*$L$3</f>
        <v>24.525000000000002</v>
      </c>
      <c r="M7" s="117"/>
      <c r="N7" s="117"/>
      <c r="O7" s="118">
        <v>2.5</v>
      </c>
      <c r="P7" s="124" t="s">
        <v>179</v>
      </c>
      <c r="Q7" s="112">
        <v>1.3</v>
      </c>
      <c r="R7" s="112">
        <v>2</v>
      </c>
      <c r="S7" s="112">
        <v>1.2</v>
      </c>
      <c r="T7" s="113"/>
      <c r="U7" s="113"/>
      <c r="V7" s="113"/>
      <c r="W7" s="113"/>
      <c r="X7" s="113"/>
      <c r="Y7" s="113"/>
      <c r="Z7" s="113"/>
      <c r="AA7" s="93"/>
    </row>
    <row r="8" spans="1:27" s="114" customFormat="1" ht="15">
      <c r="A8" s="233" t="s">
        <v>24</v>
      </c>
      <c r="B8" s="125">
        <v>0.001</v>
      </c>
      <c r="C8" s="125"/>
      <c r="D8" s="91"/>
      <c r="E8" s="87" t="s">
        <v>80</v>
      </c>
      <c r="F8" s="126">
        <f>B11-M5*COS(B56)</f>
        <v>1.8198696128439469</v>
      </c>
      <c r="G8" s="127">
        <f>B12+N5*COS(B56)</f>
        <v>0.5900651935780266</v>
      </c>
      <c r="H8" s="128" t="s">
        <v>146</v>
      </c>
      <c r="I8" s="127">
        <v>2.8</v>
      </c>
      <c r="J8" s="127">
        <v>2.1</v>
      </c>
      <c r="K8" s="127">
        <v>2.6</v>
      </c>
      <c r="L8" s="128">
        <f>O8*$L$3</f>
        <v>19.62</v>
      </c>
      <c r="M8" s="127"/>
      <c r="N8" s="127"/>
      <c r="O8" s="129">
        <v>2</v>
      </c>
      <c r="P8" s="124"/>
      <c r="Q8" s="112"/>
      <c r="R8" s="112"/>
      <c r="S8" s="112"/>
      <c r="T8" s="113"/>
      <c r="U8" s="113"/>
      <c r="V8" s="113"/>
      <c r="W8" s="113"/>
      <c r="X8" s="113"/>
      <c r="Y8" s="113"/>
      <c r="Z8" s="113"/>
      <c r="AA8" s="93"/>
    </row>
    <row r="9" spans="1:27" s="114" customFormat="1" ht="15">
      <c r="A9" s="233" t="s">
        <v>26</v>
      </c>
      <c r="B9" s="125">
        <v>15</v>
      </c>
      <c r="C9" s="125"/>
      <c r="D9" s="125"/>
      <c r="E9" s="85" t="s">
        <v>109</v>
      </c>
      <c r="F9" s="117">
        <f>F5+B19*B61</f>
        <v>0.9998476951563913</v>
      </c>
      <c r="G9" s="117">
        <f>G5+B61*B19</f>
        <v>0.01745240643728351</v>
      </c>
      <c r="H9" s="85" t="s">
        <v>147</v>
      </c>
      <c r="I9" s="117">
        <v>4</v>
      </c>
      <c r="J9" s="117">
        <v>1.2</v>
      </c>
      <c r="K9" s="117">
        <v>3.1</v>
      </c>
      <c r="L9" s="85">
        <f>O9*$L$3</f>
        <v>23.544</v>
      </c>
      <c r="M9" s="117"/>
      <c r="N9" s="117"/>
      <c r="O9" s="118">
        <v>2.4</v>
      </c>
      <c r="P9" s="125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93"/>
    </row>
    <row r="10" spans="1:27" s="135" customFormat="1" ht="15">
      <c r="A10" s="233" t="s">
        <v>27</v>
      </c>
      <c r="B10" s="130">
        <f>RADIANS(B9)</f>
        <v>0.2617993877991494</v>
      </c>
      <c r="C10" s="131"/>
      <c r="D10" s="131"/>
      <c r="E10" s="87" t="s">
        <v>164</v>
      </c>
      <c r="F10" s="132"/>
      <c r="G10" s="132"/>
      <c r="H10" s="87" t="s">
        <v>166</v>
      </c>
      <c r="I10" s="132">
        <v>2.5</v>
      </c>
      <c r="J10" s="132">
        <v>1.2</v>
      </c>
      <c r="K10" s="132"/>
      <c r="L10" s="87"/>
      <c r="M10" s="132">
        <v>0.1</v>
      </c>
      <c r="N10" s="132">
        <v>0.2</v>
      </c>
      <c r="O10" s="131"/>
      <c r="P10" s="131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</row>
    <row r="11" spans="1:27" s="135" customFormat="1" ht="15">
      <c r="A11" s="97" t="s">
        <v>28</v>
      </c>
      <c r="B11" s="131">
        <v>2</v>
      </c>
      <c r="C11" s="131"/>
      <c r="D11" s="9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</row>
    <row r="12" spans="1:27" s="135" customFormat="1" ht="15">
      <c r="A12" s="97" t="s">
        <v>29</v>
      </c>
      <c r="B12" s="137">
        <v>0.5</v>
      </c>
      <c r="C12" s="131"/>
      <c r="D12" s="9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</row>
    <row r="13" spans="1:27" s="135" customFormat="1" ht="15">
      <c r="A13" s="97" t="s">
        <v>291</v>
      </c>
      <c r="B13" s="137">
        <v>300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7"/>
      <c r="N13" s="246"/>
      <c r="O13" s="246"/>
      <c r="P13" s="246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</row>
    <row r="14" spans="1:27" s="135" customFormat="1" ht="15">
      <c r="A14" s="234"/>
      <c r="B14" s="137"/>
      <c r="C14" s="131" t="s">
        <v>30</v>
      </c>
      <c r="D14" s="131">
        <v>47</v>
      </c>
      <c r="E14" s="137"/>
      <c r="F14" s="137"/>
      <c r="G14" s="131"/>
      <c r="H14" s="137"/>
      <c r="I14" s="137"/>
      <c r="J14" s="137"/>
      <c r="K14" s="131"/>
      <c r="L14" s="131"/>
      <c r="M14" s="137"/>
      <c r="N14" s="137"/>
      <c r="O14" s="137"/>
      <c r="P14" s="137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27" s="135" customFormat="1" ht="15.75" thickBot="1">
      <c r="A15" s="97" t="s">
        <v>31</v>
      </c>
      <c r="B15" s="131">
        <v>0.8</v>
      </c>
      <c r="C15" s="138" t="s">
        <v>32</v>
      </c>
      <c r="D15" s="139">
        <f>RADIANS(D14)</f>
        <v>0.8203047484373349</v>
      </c>
      <c r="E15" s="140"/>
      <c r="F15" s="140"/>
      <c r="G15" s="138"/>
      <c r="H15" s="138"/>
      <c r="I15" s="138"/>
      <c r="J15" s="138"/>
      <c r="K15" s="138"/>
      <c r="L15" s="138"/>
      <c r="M15" s="137"/>
      <c r="N15" s="137"/>
      <c r="O15" s="137"/>
      <c r="P15" s="137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/>
    </row>
    <row r="16" spans="1:27" s="135" customFormat="1" ht="15">
      <c r="A16" s="97" t="s">
        <v>92</v>
      </c>
      <c r="B16" s="131">
        <f>-1</f>
        <v>-1</v>
      </c>
      <c r="C16" s="131" t="s">
        <v>33</v>
      </c>
      <c r="D16" s="141">
        <f>TAN(D15)</f>
        <v>1.0723687100246826</v>
      </c>
      <c r="E16" s="137"/>
      <c r="F16" s="137"/>
      <c r="G16" s="131"/>
      <c r="H16" s="131"/>
      <c r="I16" s="131"/>
      <c r="J16" s="131"/>
      <c r="K16" s="131"/>
      <c r="L16" s="131"/>
      <c r="M16" s="137"/>
      <c r="N16" s="137"/>
      <c r="O16" s="137"/>
      <c r="P16" s="137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</row>
    <row r="17" spans="1:27" s="146" customFormat="1" ht="15.75" thickBot="1">
      <c r="A17" s="57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</row>
    <row r="18" spans="1:26" s="1" customFormat="1" ht="15.75" thickBot="1">
      <c r="A18" s="147" t="s">
        <v>34</v>
      </c>
      <c r="B18" s="148"/>
      <c r="C18" s="149"/>
      <c r="D18" s="150"/>
      <c r="E18" s="151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s="154" customFormat="1" ht="15">
      <c r="A19" s="152" t="s">
        <v>37</v>
      </c>
      <c r="B19" s="153">
        <v>0</v>
      </c>
      <c r="C19" s="153">
        <f>B19+$B$9</f>
        <v>15</v>
      </c>
      <c r="D19" s="153">
        <f aca="true" t="shared" si="0" ref="D19:Z19">C19+$B$9</f>
        <v>30</v>
      </c>
      <c r="E19" s="153">
        <f t="shared" si="0"/>
        <v>45</v>
      </c>
      <c r="F19" s="153">
        <f t="shared" si="0"/>
        <v>60</v>
      </c>
      <c r="G19" s="153">
        <f t="shared" si="0"/>
        <v>75</v>
      </c>
      <c r="H19" s="153">
        <f t="shared" si="0"/>
        <v>90</v>
      </c>
      <c r="I19" s="153">
        <f t="shared" si="0"/>
        <v>105</v>
      </c>
      <c r="J19" s="153">
        <f t="shared" si="0"/>
        <v>120</v>
      </c>
      <c r="K19" s="153">
        <f t="shared" si="0"/>
        <v>135</v>
      </c>
      <c r="L19" s="153">
        <f t="shared" si="0"/>
        <v>150</v>
      </c>
      <c r="M19" s="153">
        <f t="shared" si="0"/>
        <v>165</v>
      </c>
      <c r="N19" s="153">
        <f t="shared" si="0"/>
        <v>180</v>
      </c>
      <c r="O19" s="153">
        <f t="shared" si="0"/>
        <v>195</v>
      </c>
      <c r="P19" s="153">
        <f t="shared" si="0"/>
        <v>210</v>
      </c>
      <c r="Q19" s="153">
        <f t="shared" si="0"/>
        <v>225</v>
      </c>
      <c r="R19" s="153">
        <f t="shared" si="0"/>
        <v>240</v>
      </c>
      <c r="S19" s="153">
        <f t="shared" si="0"/>
        <v>255</v>
      </c>
      <c r="T19" s="153">
        <f t="shared" si="0"/>
        <v>270</v>
      </c>
      <c r="U19" s="153">
        <f t="shared" si="0"/>
        <v>285</v>
      </c>
      <c r="V19" s="153">
        <f t="shared" si="0"/>
        <v>300</v>
      </c>
      <c r="W19" s="153">
        <f t="shared" si="0"/>
        <v>315</v>
      </c>
      <c r="X19" s="153">
        <f t="shared" si="0"/>
        <v>330</v>
      </c>
      <c r="Y19" s="153">
        <f t="shared" si="0"/>
        <v>345</v>
      </c>
      <c r="Z19" s="153">
        <f t="shared" si="0"/>
        <v>360</v>
      </c>
    </row>
    <row r="20" spans="1:26" s="1" customFormat="1" ht="15">
      <c r="A20" s="155" t="s">
        <v>38</v>
      </c>
      <c r="B20" s="156">
        <f>RADIANS(B19)</f>
        <v>0</v>
      </c>
      <c r="C20" s="156">
        <f aca="true" t="shared" si="1" ref="C20:Z20">RADIANS(C19)</f>
        <v>0.2617993877991494</v>
      </c>
      <c r="D20" s="156">
        <f t="shared" si="1"/>
        <v>0.5235987755982988</v>
      </c>
      <c r="E20" s="156">
        <f t="shared" si="1"/>
        <v>0.7853981633974483</v>
      </c>
      <c r="F20" s="156">
        <f t="shared" si="1"/>
        <v>1.0471975511965976</v>
      </c>
      <c r="G20" s="156">
        <f t="shared" si="1"/>
        <v>1.3089969389957472</v>
      </c>
      <c r="H20" s="156">
        <f t="shared" si="1"/>
        <v>1.5707963267948966</v>
      </c>
      <c r="I20" s="156">
        <f t="shared" si="1"/>
        <v>1.8325957145940461</v>
      </c>
      <c r="J20" s="156">
        <f t="shared" si="1"/>
        <v>2.0943951023931953</v>
      </c>
      <c r="K20" s="156">
        <f t="shared" si="1"/>
        <v>2.356194490192345</v>
      </c>
      <c r="L20" s="156">
        <f t="shared" si="1"/>
        <v>2.6179938779914944</v>
      </c>
      <c r="M20" s="156">
        <f t="shared" si="1"/>
        <v>2.8797932657906435</v>
      </c>
      <c r="N20" s="156">
        <f t="shared" si="1"/>
        <v>3.141592653589793</v>
      </c>
      <c r="O20" s="156">
        <f t="shared" si="1"/>
        <v>3.4033920413889427</v>
      </c>
      <c r="P20" s="156">
        <f t="shared" si="1"/>
        <v>3.6651914291880923</v>
      </c>
      <c r="Q20" s="156">
        <f t="shared" si="1"/>
        <v>3.9269908169872414</v>
      </c>
      <c r="R20" s="156">
        <f t="shared" si="1"/>
        <v>4.1887902047863905</v>
      </c>
      <c r="S20" s="156">
        <f t="shared" si="1"/>
        <v>4.4505895925855405</v>
      </c>
      <c r="T20" s="156">
        <f t="shared" si="1"/>
        <v>4.71238898038469</v>
      </c>
      <c r="U20" s="156">
        <f t="shared" si="1"/>
        <v>4.974188368183839</v>
      </c>
      <c r="V20" s="156">
        <f t="shared" si="1"/>
        <v>5.235987755982989</v>
      </c>
      <c r="W20" s="156">
        <f t="shared" si="1"/>
        <v>5.497787143782138</v>
      </c>
      <c r="X20" s="156">
        <f t="shared" si="1"/>
        <v>5.759586531581287</v>
      </c>
      <c r="Y20" s="156">
        <f t="shared" si="1"/>
        <v>6.021385919380437</v>
      </c>
      <c r="Z20" s="156">
        <f t="shared" si="1"/>
        <v>6.283185307179586</v>
      </c>
    </row>
    <row r="21" spans="1:26" s="1" customFormat="1" ht="15">
      <c r="A21" s="155" t="s">
        <v>39</v>
      </c>
      <c r="B21" s="156">
        <f>B20-$B$20</f>
        <v>0</v>
      </c>
      <c r="C21" s="156">
        <f>C20-$B$20</f>
        <v>0.2617993877991494</v>
      </c>
      <c r="D21" s="156">
        <f>D20-$B$20</f>
        <v>0.5235987755982988</v>
      </c>
      <c r="E21" s="156">
        <f>E20-$B$20</f>
        <v>0.7853981633974483</v>
      </c>
      <c r="F21" s="156">
        <f aca="true" t="shared" si="2" ref="F21:Z21">F20-$B$20</f>
        <v>1.0471975511965976</v>
      </c>
      <c r="G21" s="156">
        <f t="shared" si="2"/>
        <v>1.3089969389957472</v>
      </c>
      <c r="H21" s="156">
        <f t="shared" si="2"/>
        <v>1.5707963267948966</v>
      </c>
      <c r="I21" s="156">
        <f t="shared" si="2"/>
        <v>1.8325957145940461</v>
      </c>
      <c r="J21" s="156">
        <f t="shared" si="2"/>
        <v>2.0943951023931953</v>
      </c>
      <c r="K21" s="156">
        <f t="shared" si="2"/>
        <v>2.356194490192345</v>
      </c>
      <c r="L21" s="156">
        <f t="shared" si="2"/>
        <v>2.6179938779914944</v>
      </c>
      <c r="M21" s="156">
        <f t="shared" si="2"/>
        <v>2.8797932657906435</v>
      </c>
      <c r="N21" s="156">
        <f t="shared" si="2"/>
        <v>3.141592653589793</v>
      </c>
      <c r="O21" s="156">
        <f t="shared" si="2"/>
        <v>3.4033920413889427</v>
      </c>
      <c r="P21" s="156">
        <f t="shared" si="2"/>
        <v>3.6651914291880923</v>
      </c>
      <c r="Q21" s="156">
        <f t="shared" si="2"/>
        <v>3.9269908169872414</v>
      </c>
      <c r="R21" s="156">
        <f t="shared" si="2"/>
        <v>4.1887902047863905</v>
      </c>
      <c r="S21" s="156">
        <f t="shared" si="2"/>
        <v>4.4505895925855405</v>
      </c>
      <c r="T21" s="156">
        <f t="shared" si="2"/>
        <v>4.71238898038469</v>
      </c>
      <c r="U21" s="156">
        <f t="shared" si="2"/>
        <v>4.974188368183839</v>
      </c>
      <c r="V21" s="156">
        <f t="shared" si="2"/>
        <v>5.235987755982989</v>
      </c>
      <c r="W21" s="156">
        <f t="shared" si="2"/>
        <v>5.497787143782138</v>
      </c>
      <c r="X21" s="156">
        <f t="shared" si="2"/>
        <v>5.759586531581287</v>
      </c>
      <c r="Y21" s="156">
        <f t="shared" si="2"/>
        <v>6.021385919380437</v>
      </c>
      <c r="Z21" s="156">
        <f t="shared" si="2"/>
        <v>6.283185307179586</v>
      </c>
    </row>
    <row r="22" spans="1:26" s="1" customFormat="1" ht="15">
      <c r="A22" s="157" t="s">
        <v>40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s="1" customFormat="1" ht="15">
      <c r="A23" s="157" t="s">
        <v>41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s="1" customFormat="1" ht="15">
      <c r="A24" s="155" t="s">
        <v>42</v>
      </c>
      <c r="B24" s="156">
        <f>$B$7</f>
        <v>0</v>
      </c>
      <c r="C24" s="156">
        <f>B238/$B$13</f>
        <v>-0.09083930188207565</v>
      </c>
      <c r="D24" s="156">
        <f aca="true" t="shared" si="3" ref="D24:Z24">C238/$B$13</f>
        <v>-0.39246675876002884</v>
      </c>
      <c r="E24" s="156">
        <f t="shared" si="3"/>
        <v>-0.45872691767979024</v>
      </c>
      <c r="F24" s="156">
        <f t="shared" si="3"/>
        <v>-0.2540870929466581</v>
      </c>
      <c r="G24" s="156">
        <f t="shared" si="3"/>
        <v>-0.12038918719315769</v>
      </c>
      <c r="H24" s="156">
        <f t="shared" si="3"/>
        <v>-0.06729442757807076</v>
      </c>
      <c r="I24" s="156">
        <f t="shared" si="3"/>
        <v>-0.05161648250127899</v>
      </c>
      <c r="J24" s="156">
        <f t="shared" si="3"/>
        <v>-0.04982220988799516</v>
      </c>
      <c r="K24" s="156">
        <f t="shared" si="3"/>
        <v>-0.049103801958613975</v>
      </c>
      <c r="L24" s="156">
        <f t="shared" si="3"/>
        <v>-0.04275019805763198</v>
      </c>
      <c r="M24" s="156">
        <f t="shared" si="3"/>
        <v>-0.028071018034664424</v>
      </c>
      <c r="N24" s="156">
        <f t="shared" si="3"/>
        <v>-0.005100080224037432</v>
      </c>
      <c r="O24" s="156">
        <f t="shared" si="3"/>
        <v>0.024417758200298748</v>
      </c>
      <c r="P24" s="156">
        <f t="shared" si="3"/>
        <v>0.05789190720580639</v>
      </c>
      <c r="Q24" s="156">
        <f t="shared" si="3"/>
        <v>0.09255373810009397</v>
      </c>
      <c r="R24" s="156">
        <f t="shared" si="3"/>
        <v>0.12576926570942026</v>
      </c>
      <c r="S24" s="156">
        <f t="shared" si="3"/>
        <v>0.15499834406344012</v>
      </c>
      <c r="T24" s="156">
        <f t="shared" si="3"/>
        <v>0.17774146003297817</v>
      </c>
      <c r="U24" s="156">
        <f t="shared" si="3"/>
        <v>0.1916705752300025</v>
      </c>
      <c r="V24" s="156">
        <f t="shared" si="3"/>
        <v>0.19475199090049847</v>
      </c>
      <c r="W24" s="156">
        <f t="shared" si="3"/>
        <v>0.18533009517020946</v>
      </c>
      <c r="X24" s="156">
        <f t="shared" si="3"/>
        <v>0.16264551940278713</v>
      </c>
      <c r="Y24" s="156">
        <f t="shared" si="3"/>
        <v>0.12787298537600025</v>
      </c>
      <c r="Z24" s="156">
        <f t="shared" si="3"/>
        <v>0.08095224734308379</v>
      </c>
    </row>
    <row r="25" spans="1:26" s="1" customFormat="1" ht="15">
      <c r="A25" s="155" t="s">
        <v>43</v>
      </c>
      <c r="B25" s="156">
        <v>0</v>
      </c>
      <c r="C25" s="156">
        <f>(C20-B20)/B26</f>
        <v>0.2617993877991494</v>
      </c>
      <c r="D25" s="156">
        <f aca="true" t="shared" si="4" ref="D25:Z25">(D20-C20)/C26</f>
        <v>0.2617993877991494</v>
      </c>
      <c r="E25" s="156">
        <f t="shared" si="4"/>
        <v>0.2681770877731552</v>
      </c>
      <c r="F25" s="156">
        <f t="shared" si="4"/>
        <v>0.3005844850379125</v>
      </c>
      <c r="G25" s="156">
        <f t="shared" si="4"/>
        <v>0.35712178474242434</v>
      </c>
      <c r="H25" s="156">
        <f t="shared" si="4"/>
        <v>0.4075704066455974</v>
      </c>
      <c r="I25" s="156">
        <f t="shared" si="4"/>
        <v>0.44127872868638834</v>
      </c>
      <c r="J25" s="156">
        <f t="shared" si="4"/>
        <v>0.4645301987198344</v>
      </c>
      <c r="K25" s="156">
        <f t="shared" si="4"/>
        <v>0.4851717924946302</v>
      </c>
      <c r="L25" s="156">
        <f t="shared" si="4"/>
        <v>0.5079251321210533</v>
      </c>
      <c r="M25" s="156">
        <f t="shared" si="4"/>
        <v>0.5337528544033293</v>
      </c>
      <c r="N25" s="156">
        <f t="shared" si="4"/>
        <v>0.5597951369780548</v>
      </c>
      <c r="O25" s="156">
        <f t="shared" si="4"/>
        <v>0.5792586072005442</v>
      </c>
      <c r="P25" s="156">
        <f t="shared" si="4"/>
        <v>0.5830699148424012</v>
      </c>
      <c r="Q25" s="156">
        <f t="shared" si="4"/>
        <v>0.5651497512670224</v>
      </c>
      <c r="R25" s="156">
        <f t="shared" si="4"/>
        <v>0.5278675715919606</v>
      </c>
      <c r="S25" s="156">
        <f t="shared" si="4"/>
        <v>0.4805310086637934</v>
      </c>
      <c r="T25" s="156">
        <f t="shared" si="4"/>
        <v>0.4325484408795544</v>
      </c>
      <c r="U25" s="156">
        <f t="shared" si="4"/>
        <v>0.3894126299770805</v>
      </c>
      <c r="V25" s="156">
        <f t="shared" si="4"/>
        <v>0.3530635770584044</v>
      </c>
      <c r="W25" s="156">
        <f t="shared" si="4"/>
        <v>0.3235367816672941</v>
      </c>
      <c r="X25" s="156">
        <f t="shared" si="4"/>
        <v>0.3001635604344886</v>
      </c>
      <c r="Y25" s="156">
        <f t="shared" si="4"/>
        <v>0.2821666116201847</v>
      </c>
      <c r="Z25" s="156">
        <f t="shared" si="4"/>
        <v>0.26886748829879037</v>
      </c>
    </row>
    <row r="26" spans="1:26" s="1" customFormat="1" ht="15">
      <c r="A26" s="155" t="s">
        <v>44</v>
      </c>
      <c r="B26" s="156">
        <f>B6</f>
        <v>1</v>
      </c>
      <c r="C26" s="156">
        <f>B26+B24*C25</f>
        <v>1</v>
      </c>
      <c r="D26" s="156">
        <f aca="true" t="shared" si="5" ref="D26:Z26">C26+C24*D25</f>
        <v>0.9762183263791705</v>
      </c>
      <c r="E26" s="156">
        <f t="shared" si="5"/>
        <v>0.8709677339671366</v>
      </c>
      <c r="F26" s="156">
        <f t="shared" si="5"/>
        <v>0.7330815396433279</v>
      </c>
      <c r="G26" s="156">
        <f t="shared" si="5"/>
        <v>0.6423415035302031</v>
      </c>
      <c r="H26" s="156">
        <f t="shared" si="5"/>
        <v>0.593274433550155</v>
      </c>
      <c r="I26" s="156">
        <f t="shared" si="5"/>
        <v>0.5635788341008257</v>
      </c>
      <c r="J26" s="156">
        <f t="shared" si="5"/>
        <v>0.5396014192272877</v>
      </c>
      <c r="K26" s="156">
        <f t="shared" si="5"/>
        <v>0.5154290883498853</v>
      </c>
      <c r="L26" s="156">
        <f t="shared" si="5"/>
        <v>0.4904880332524103</v>
      </c>
      <c r="M26" s="156">
        <f t="shared" si="5"/>
        <v>0.46766999301284157</v>
      </c>
      <c r="N26" s="156">
        <f t="shared" si="5"/>
        <v>0.4519559736270132</v>
      </c>
      <c r="O26" s="156">
        <f t="shared" si="5"/>
        <v>0.4490017082598262</v>
      </c>
      <c r="P26" s="156">
        <f t="shared" si="5"/>
        <v>0.4632389684543167</v>
      </c>
      <c r="Q26" s="156">
        <f t="shared" si="5"/>
        <v>0.49595656541205174</v>
      </c>
      <c r="R26" s="156">
        <f t="shared" si="5"/>
        <v>0.5448126823847067</v>
      </c>
      <c r="S26" s="156">
        <f t="shared" si="5"/>
        <v>0.6052487144949591</v>
      </c>
      <c r="T26" s="156">
        <f t="shared" si="5"/>
        <v>0.6722930065585129</v>
      </c>
      <c r="U26" s="156">
        <f t="shared" si="5"/>
        <v>0.741507775965921</v>
      </c>
      <c r="V26" s="156">
        <f t="shared" si="5"/>
        <v>0.8091796748734676</v>
      </c>
      <c r="W26" s="156">
        <f t="shared" si="5"/>
        <v>0.872189107232713</v>
      </c>
      <c r="X26" s="156">
        <f t="shared" si="5"/>
        <v>0.9278184484546658</v>
      </c>
      <c r="Y26" s="156">
        <f t="shared" si="5"/>
        <v>0.9737115835597552</v>
      </c>
      <c r="Z26" s="156">
        <f t="shared" si="5"/>
        <v>1.0080924719590683</v>
      </c>
    </row>
    <row r="27" spans="1:26" s="1" customFormat="1" ht="15">
      <c r="A27" s="155" t="s">
        <v>45</v>
      </c>
      <c r="B27" s="156">
        <f>B20</f>
        <v>0</v>
      </c>
      <c r="C27" s="156">
        <f>B27+B26*C25</f>
        <v>0.2617993877991494</v>
      </c>
      <c r="D27" s="156">
        <f aca="true" t="shared" si="6" ref="D27:Z27">C27+C26*D25</f>
        <v>0.5235987755982988</v>
      </c>
      <c r="E27" s="156">
        <f t="shared" si="6"/>
        <v>0.7853981633974483</v>
      </c>
      <c r="F27" s="156">
        <f t="shared" si="6"/>
        <v>1.0471975511965976</v>
      </c>
      <c r="G27" s="156">
        <f t="shared" si="6"/>
        <v>1.3089969389957472</v>
      </c>
      <c r="H27" s="156">
        <f t="shared" si="6"/>
        <v>1.5707963267948966</v>
      </c>
      <c r="I27" s="156">
        <f t="shared" si="6"/>
        <v>1.8325957145940461</v>
      </c>
      <c r="J27" s="156">
        <f t="shared" si="6"/>
        <v>2.0943951023931953</v>
      </c>
      <c r="K27" s="156">
        <f t="shared" si="6"/>
        <v>2.356194490192345</v>
      </c>
      <c r="L27" s="156">
        <f t="shared" si="6"/>
        <v>2.6179938779914944</v>
      </c>
      <c r="M27" s="156">
        <f t="shared" si="6"/>
        <v>2.8797932657906435</v>
      </c>
      <c r="N27" s="156">
        <f t="shared" si="6"/>
        <v>3.141592653589793</v>
      </c>
      <c r="O27" s="156">
        <f t="shared" si="6"/>
        <v>3.4033920413889427</v>
      </c>
      <c r="P27" s="156">
        <f t="shared" si="6"/>
        <v>3.6651914291880923</v>
      </c>
      <c r="Q27" s="156">
        <f t="shared" si="6"/>
        <v>3.9269908169872414</v>
      </c>
      <c r="R27" s="156">
        <f t="shared" si="6"/>
        <v>4.1887902047863905</v>
      </c>
      <c r="S27" s="156">
        <f t="shared" si="6"/>
        <v>4.4505895925855405</v>
      </c>
      <c r="T27" s="156">
        <f t="shared" si="6"/>
        <v>4.71238898038469</v>
      </c>
      <c r="U27" s="156">
        <f t="shared" si="6"/>
        <v>4.974188368183839</v>
      </c>
      <c r="V27" s="156">
        <f t="shared" si="6"/>
        <v>5.235987755982989</v>
      </c>
      <c r="W27" s="156">
        <f t="shared" si="6"/>
        <v>5.497787143782138</v>
      </c>
      <c r="X27" s="156">
        <f t="shared" si="6"/>
        <v>5.759586531581287</v>
      </c>
      <c r="Y27" s="156">
        <f t="shared" si="6"/>
        <v>6.021385919380437</v>
      </c>
      <c r="Z27" s="156">
        <f t="shared" si="6"/>
        <v>6.283185307179586</v>
      </c>
    </row>
    <row r="28" spans="1:26" s="3" customFormat="1" ht="15.75" thickBot="1">
      <c r="A28" s="158" t="s">
        <v>46</v>
      </c>
      <c r="B28" s="159">
        <f>B20-B27</f>
        <v>0</v>
      </c>
      <c r="C28" s="159">
        <f>C20-C27</f>
        <v>0</v>
      </c>
      <c r="D28" s="159">
        <f aca="true" t="shared" si="7" ref="D28:Z28">D20-D27</f>
        <v>0</v>
      </c>
      <c r="E28" s="159">
        <f t="shared" si="7"/>
        <v>0</v>
      </c>
      <c r="F28" s="159">
        <f t="shared" si="7"/>
        <v>0</v>
      </c>
      <c r="G28" s="159">
        <f t="shared" si="7"/>
        <v>0</v>
      </c>
      <c r="H28" s="159">
        <f t="shared" si="7"/>
        <v>0</v>
      </c>
      <c r="I28" s="159">
        <f t="shared" si="7"/>
        <v>0</v>
      </c>
      <c r="J28" s="159">
        <f t="shared" si="7"/>
        <v>0</v>
      </c>
      <c r="K28" s="159">
        <f t="shared" si="7"/>
        <v>0</v>
      </c>
      <c r="L28" s="159">
        <f t="shared" si="7"/>
        <v>0</v>
      </c>
      <c r="M28" s="159">
        <f t="shared" si="7"/>
        <v>0</v>
      </c>
      <c r="N28" s="159">
        <f t="shared" si="7"/>
        <v>0</v>
      </c>
      <c r="O28" s="159">
        <f t="shared" si="7"/>
        <v>0</v>
      </c>
      <c r="P28" s="159">
        <f t="shared" si="7"/>
        <v>0</v>
      </c>
      <c r="Q28" s="159">
        <f t="shared" si="7"/>
        <v>0</v>
      </c>
      <c r="R28" s="159">
        <f t="shared" si="7"/>
        <v>0</v>
      </c>
      <c r="S28" s="159">
        <f t="shared" si="7"/>
        <v>0</v>
      </c>
      <c r="T28" s="159">
        <f t="shared" si="7"/>
        <v>0</v>
      </c>
      <c r="U28" s="159">
        <f t="shared" si="7"/>
        <v>0</v>
      </c>
      <c r="V28" s="159">
        <f t="shared" si="7"/>
        <v>0</v>
      </c>
      <c r="W28" s="159">
        <f t="shared" si="7"/>
        <v>0</v>
      </c>
      <c r="X28" s="159">
        <f t="shared" si="7"/>
        <v>0</v>
      </c>
      <c r="Y28" s="159">
        <f t="shared" si="7"/>
        <v>0</v>
      </c>
      <c r="Z28" s="159">
        <f t="shared" si="7"/>
        <v>0</v>
      </c>
    </row>
    <row r="29" spans="1:26" s="1" customFormat="1" ht="15.75" thickBot="1">
      <c r="A29" s="230" t="s">
        <v>47</v>
      </c>
      <c r="B29" s="231"/>
      <c r="C29" s="231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s="1" customFormat="1" ht="14.25" customHeight="1" thickBot="1">
      <c r="A30" s="161" t="s">
        <v>88</v>
      </c>
      <c r="B30" s="150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s="163" customFormat="1" ht="15">
      <c r="A31" s="50" t="s">
        <v>48</v>
      </c>
      <c r="B31" s="162">
        <f>$F$5*COS(B21)-$G$5*SIN(B21)</f>
        <v>0.9998476951563913</v>
      </c>
      <c r="C31" s="162">
        <f aca="true" t="shared" si="8" ref="C31:Z31">$F$5*COS(C21)-$G$5*SIN(C21)</f>
        <v>0.9612616959383189</v>
      </c>
      <c r="D31" s="162">
        <f t="shared" si="8"/>
        <v>0.8571673007021124</v>
      </c>
      <c r="E31" s="162">
        <f t="shared" si="8"/>
        <v>0.6946583704589974</v>
      </c>
      <c r="F31" s="162">
        <f t="shared" si="8"/>
        <v>0.48480962024633717</v>
      </c>
      <c r="G31" s="162">
        <f t="shared" si="8"/>
        <v>0.24192189559966773</v>
      </c>
      <c r="H31" s="162">
        <f t="shared" si="8"/>
        <v>-0.01745240643728345</v>
      </c>
      <c r="I31" s="162">
        <f t="shared" si="8"/>
        <v>-0.27563735581699933</v>
      </c>
      <c r="J31" s="162">
        <f t="shared" si="8"/>
        <v>-0.515038074910054</v>
      </c>
      <c r="K31" s="162">
        <f t="shared" si="8"/>
        <v>-0.7193398003386511</v>
      </c>
      <c r="L31" s="162">
        <f t="shared" si="8"/>
        <v>-0.8746197071393959</v>
      </c>
      <c r="M31" s="162">
        <f t="shared" si="8"/>
        <v>-0.9702957262759965</v>
      </c>
      <c r="N31" s="162">
        <f t="shared" si="8"/>
        <v>-0.9998476951563913</v>
      </c>
      <c r="O31" s="162">
        <f t="shared" si="8"/>
        <v>-0.9612616959383189</v>
      </c>
      <c r="P31" s="162">
        <f t="shared" si="8"/>
        <v>-0.8571673007021123</v>
      </c>
      <c r="Q31" s="162">
        <f t="shared" si="8"/>
        <v>-0.6946583704589975</v>
      </c>
      <c r="R31" s="162">
        <f t="shared" si="8"/>
        <v>-0.4848096202463375</v>
      </c>
      <c r="S31" s="162">
        <f t="shared" si="8"/>
        <v>-0.24192189559966762</v>
      </c>
      <c r="T31" s="162">
        <f t="shared" si="8"/>
        <v>0.017452406437283328</v>
      </c>
      <c r="U31" s="162">
        <f t="shared" si="8"/>
        <v>0.2756373558169988</v>
      </c>
      <c r="V31" s="162">
        <f t="shared" si="8"/>
        <v>0.5150380749100544</v>
      </c>
      <c r="W31" s="162">
        <f t="shared" si="8"/>
        <v>0.719339800338651</v>
      </c>
      <c r="X31" s="162">
        <f t="shared" si="8"/>
        <v>0.8746197071393956</v>
      </c>
      <c r="Y31" s="162">
        <f t="shared" si="8"/>
        <v>0.9702957262759966</v>
      </c>
      <c r="Z31" s="162">
        <f t="shared" si="8"/>
        <v>0.9998476951563913</v>
      </c>
    </row>
    <row r="32" spans="1:26" s="163" customFormat="1" ht="15">
      <c r="A32" s="51" t="s">
        <v>49</v>
      </c>
      <c r="B32" s="164">
        <f>$F$5*SIN(B21)+$G$5*COS(B21)</f>
        <v>0.01745240643728351</v>
      </c>
      <c r="C32" s="164">
        <f aca="true" t="shared" si="9" ref="C32:Z32">$F$5*SIN(C21)+$G$5*COS(C21)</f>
        <v>0.2756373558169992</v>
      </c>
      <c r="D32" s="164">
        <f t="shared" si="9"/>
        <v>0.5150380749100542</v>
      </c>
      <c r="E32" s="164">
        <f t="shared" si="9"/>
        <v>0.7193398003386511</v>
      </c>
      <c r="F32" s="164">
        <f t="shared" si="9"/>
        <v>0.8746197071393957</v>
      </c>
      <c r="G32" s="164">
        <f t="shared" si="9"/>
        <v>0.9702957262759966</v>
      </c>
      <c r="H32" s="164">
        <f t="shared" si="9"/>
        <v>0.9998476951563913</v>
      </c>
      <c r="I32" s="164">
        <f t="shared" si="9"/>
        <v>0.9612616959383189</v>
      </c>
      <c r="J32" s="164">
        <f t="shared" si="9"/>
        <v>0.8571673007021124</v>
      </c>
      <c r="K32" s="164">
        <f t="shared" si="9"/>
        <v>0.6946583704589974</v>
      </c>
      <c r="L32" s="164">
        <f t="shared" si="9"/>
        <v>0.484809620246337</v>
      </c>
      <c r="M32" s="164">
        <f t="shared" si="9"/>
        <v>0.241921895599668</v>
      </c>
      <c r="N32" s="164">
        <f t="shared" si="9"/>
        <v>-0.01745240643728339</v>
      </c>
      <c r="O32" s="164">
        <f t="shared" si="9"/>
        <v>-0.2756373558169992</v>
      </c>
      <c r="P32" s="164">
        <f t="shared" si="9"/>
        <v>-0.5150380749100544</v>
      </c>
      <c r="Q32" s="164">
        <f t="shared" si="9"/>
        <v>-0.7193398003386511</v>
      </c>
      <c r="R32" s="164">
        <f t="shared" si="9"/>
        <v>-0.8746197071393956</v>
      </c>
      <c r="S32" s="164">
        <f t="shared" si="9"/>
        <v>-0.9702957262759966</v>
      </c>
      <c r="T32" s="164">
        <f t="shared" si="9"/>
        <v>-0.9998476951563913</v>
      </c>
      <c r="U32" s="164">
        <f t="shared" si="9"/>
        <v>-0.961261695938319</v>
      </c>
      <c r="V32" s="164">
        <f t="shared" si="9"/>
        <v>-0.8571673007021123</v>
      </c>
      <c r="W32" s="164">
        <f t="shared" si="9"/>
        <v>-0.6946583704589975</v>
      </c>
      <c r="X32" s="164">
        <f t="shared" si="9"/>
        <v>-0.4848096202463375</v>
      </c>
      <c r="Y32" s="164">
        <f t="shared" si="9"/>
        <v>-0.24192189559966767</v>
      </c>
      <c r="Z32" s="164">
        <f t="shared" si="9"/>
        <v>0.017452406437283265</v>
      </c>
    </row>
    <row r="33" spans="1:26" s="163" customFormat="1" ht="15">
      <c r="A33" s="51" t="s">
        <v>50</v>
      </c>
      <c r="B33" s="164">
        <f>-B26*B32</f>
        <v>-0.01745240643728351</v>
      </c>
      <c r="C33" s="164">
        <f aca="true" t="shared" si="10" ref="C33:Z33">-C26*C32</f>
        <v>-0.2756373558169992</v>
      </c>
      <c r="D33" s="164">
        <f t="shared" si="10"/>
        <v>-0.5027896075102429</v>
      </c>
      <c r="E33" s="164">
        <f t="shared" si="10"/>
        <v>-0.6265217558533274</v>
      </c>
      <c r="F33" s="164">
        <f t="shared" si="10"/>
        <v>-0.6411675615121448</v>
      </c>
      <c r="G33" s="164">
        <f t="shared" si="10"/>
        <v>-0.6232612156850541</v>
      </c>
      <c r="H33" s="164">
        <f t="shared" si="10"/>
        <v>-0.5931840749803361</v>
      </c>
      <c r="I33" s="164">
        <f t="shared" si="10"/>
        <v>-0.5417467458627001</v>
      </c>
      <c r="J33" s="164">
        <f t="shared" si="10"/>
        <v>-0.46252869197408314</v>
      </c>
      <c r="K33" s="164">
        <f t="shared" si="10"/>
        <v>-0.3580471306002979</v>
      </c>
      <c r="L33" s="164">
        <f t="shared" si="10"/>
        <v>-0.23779331713647375</v>
      </c>
      <c r="M33" s="164">
        <f t="shared" si="10"/>
        <v>-0.11313961122475012</v>
      </c>
      <c r="N33" s="164">
        <f t="shared" si="10"/>
        <v>0.007887719343496767</v>
      </c>
      <c r="O33" s="164">
        <f t="shared" si="10"/>
        <v>0.12376164362205419</v>
      </c>
      <c r="P33" s="164">
        <f t="shared" si="10"/>
        <v>0.2385857065360307</v>
      </c>
      <c r="Q33" s="164">
        <f t="shared" si="10"/>
        <v>0.35676129674014845</v>
      </c>
      <c r="R33" s="164">
        <f t="shared" si="10"/>
        <v>0.47650390871314074</v>
      </c>
      <c r="S33" s="164">
        <f t="shared" si="10"/>
        <v>0.5872702410084997</v>
      </c>
      <c r="T33" s="164">
        <f t="shared" si="10"/>
        <v>0.6721906130772898</v>
      </c>
      <c r="U33" s="164">
        <f t="shared" si="10"/>
        <v>0.7127830222764523</v>
      </c>
      <c r="V33" s="164">
        <f t="shared" si="10"/>
        <v>0.6936023576943031</v>
      </c>
      <c r="W33" s="164">
        <f t="shared" si="10"/>
        <v>0.6058734639623643</v>
      </c>
      <c r="X33" s="164">
        <f t="shared" si="10"/>
        <v>0.4498153096528526</v>
      </c>
      <c r="Y33" s="164">
        <f t="shared" si="10"/>
        <v>0.2355621520621302</v>
      </c>
      <c r="Z33" s="164">
        <f t="shared" si="10"/>
        <v>-0.017593639546995242</v>
      </c>
    </row>
    <row r="34" spans="1:26" s="163" customFormat="1" ht="15">
      <c r="A34" s="51" t="s">
        <v>51</v>
      </c>
      <c r="B34" s="164">
        <f>B26*B31</f>
        <v>0.9998476951563913</v>
      </c>
      <c r="C34" s="164">
        <f aca="true" t="shared" si="11" ref="C34:Z34">C26*C31</f>
        <v>0.9612616959383189</v>
      </c>
      <c r="D34" s="164">
        <f t="shared" si="11"/>
        <v>0.8367824277183674</v>
      </c>
      <c r="E34" s="164">
        <f t="shared" si="11"/>
        <v>0.6050250267999766</v>
      </c>
      <c r="F34" s="164">
        <f t="shared" si="11"/>
        <v>0.35540498284408195</v>
      </c>
      <c r="G34" s="164">
        <f t="shared" si="11"/>
        <v>0.1553964741563674</v>
      </c>
      <c r="H34" s="164">
        <f t="shared" si="11"/>
        <v>-0.010354066543166417</v>
      </c>
      <c r="I34" s="164">
        <f t="shared" si="11"/>
        <v>-0.1553433796259789</v>
      </c>
      <c r="J34" s="164">
        <f t="shared" si="11"/>
        <v>-0.27791527617755524</v>
      </c>
      <c r="K34" s="164">
        <f t="shared" si="11"/>
        <v>-0.37076865750233945</v>
      </c>
      <c r="L34" s="164">
        <f t="shared" si="11"/>
        <v>-0.42899049999860134</v>
      </c>
      <c r="M34" s="164">
        <f t="shared" si="11"/>
        <v>-0.4537781955278853</v>
      </c>
      <c r="N34" s="164">
        <f t="shared" si="11"/>
        <v>-0.4518871385431319</v>
      </c>
      <c r="O34" s="164">
        <f t="shared" si="11"/>
        <v>-0.4316081435610428</v>
      </c>
      <c r="P34" s="164">
        <f t="shared" si="11"/>
        <v>-0.39707329617001763</v>
      </c>
      <c r="Q34" s="164">
        <f t="shared" si="11"/>
        <v>-0.344520379547577</v>
      </c>
      <c r="R34" s="164">
        <f t="shared" si="11"/>
        <v>-0.26413042965231814</v>
      </c>
      <c r="S34" s="164">
        <f t="shared" si="11"/>
        <v>-0.14642291631988252</v>
      </c>
      <c r="T34" s="164">
        <f t="shared" si="11"/>
        <v>0.011733130795402353</v>
      </c>
      <c r="U34" s="164">
        <f t="shared" si="11"/>
        <v>0.20438724268498998</v>
      </c>
      <c r="V34" s="164">
        <f t="shared" si="11"/>
        <v>0.41675834200317446</v>
      </c>
      <c r="W34" s="164">
        <f t="shared" si="11"/>
        <v>0.6274003382543261</v>
      </c>
      <c r="X34" s="164">
        <f t="shared" si="11"/>
        <v>0.8114882996659483</v>
      </c>
      <c r="Y34" s="164">
        <f t="shared" si="11"/>
        <v>0.9447881881534634</v>
      </c>
      <c r="Z34" s="164">
        <f t="shared" si="11"/>
        <v>1.0079389345927834</v>
      </c>
    </row>
    <row r="35" spans="1:26" s="163" customFormat="1" ht="15">
      <c r="A35" s="51" t="s">
        <v>52</v>
      </c>
      <c r="B35" s="164">
        <f>-B24*B32-((B26^2)*B31)</f>
        <v>-0.9998476951563913</v>
      </c>
      <c r="C35" s="164">
        <f aca="true" t="shared" si="12" ref="C35:Z35">-C24*C32-((C26^2)*C31)</f>
        <v>-0.9362229909632814</v>
      </c>
      <c r="D35" s="164">
        <f t="shared" si="12"/>
        <v>-0.61474701723277</v>
      </c>
      <c r="E35" s="164">
        <f t="shared" si="12"/>
        <v>-0.1969767472116366</v>
      </c>
      <c r="F35" s="164">
        <f t="shared" si="12"/>
        <v>-0.038311253199343615</v>
      </c>
      <c r="G35" s="164">
        <f t="shared" si="12"/>
        <v>0.016995508970468462</v>
      </c>
      <c r="H35" s="164">
        <f t="shared" si="12"/>
        <v>0.07342698127414041</v>
      </c>
      <c r="I35" s="164">
        <f t="shared" si="12"/>
        <v>0.13716518828244115</v>
      </c>
      <c r="J35" s="164">
        <f t="shared" si="12"/>
        <v>0.19266944661505936</v>
      </c>
      <c r="K35" s="164">
        <f t="shared" si="12"/>
        <v>0.22521531817705384</v>
      </c>
      <c r="L35" s="164">
        <f t="shared" si="12"/>
        <v>0.23114041391405835</v>
      </c>
      <c r="M35" s="164">
        <f t="shared" si="12"/>
        <v>0.21900943942626444</v>
      </c>
      <c r="N35" s="164">
        <f t="shared" si="12"/>
        <v>0.20414408299685352</v>
      </c>
      <c r="O35" s="164">
        <f t="shared" si="12"/>
        <v>0.20052324006306974</v>
      </c>
      <c r="P35" s="164">
        <f t="shared" si="12"/>
        <v>0.2137563605587044</v>
      </c>
      <c r="Q35" s="164">
        <f t="shared" si="12"/>
        <v>0.2374447316403902</v>
      </c>
      <c r="R35" s="164">
        <f t="shared" si="12"/>
        <v>0.2539018862202145</v>
      </c>
      <c r="S35" s="164">
        <f t="shared" si="12"/>
        <v>0.23901651269982432</v>
      </c>
      <c r="T35" s="164">
        <f t="shared" si="12"/>
        <v>0.16982628736891972</v>
      </c>
      <c r="U35" s="164">
        <f t="shared" si="12"/>
        <v>0.03269085244791148</v>
      </c>
      <c r="V35" s="164">
        <f t="shared" si="12"/>
        <v>-0.17029734133639152</v>
      </c>
      <c r="W35" s="164">
        <f t="shared" si="12"/>
        <v>-0.4184706389915942</v>
      </c>
      <c r="X35" s="164">
        <f t="shared" si="12"/>
        <v>-0.6740617026387414</v>
      </c>
      <c r="Y35" s="164">
        <f t="shared" si="12"/>
        <v>-0.8890159277973103</v>
      </c>
      <c r="Z35" s="164">
        <f t="shared" si="12"/>
        <v>-1.0175084636800715</v>
      </c>
    </row>
    <row r="36" spans="1:26" s="163" customFormat="1" ht="15">
      <c r="A36" s="51" t="s">
        <v>53</v>
      </c>
      <c r="B36" s="164">
        <f>B24*B31-B32*(B26^2)</f>
        <v>-0.01745240643728351</v>
      </c>
      <c r="C36" s="164">
        <f aca="true" t="shared" si="13" ref="C36:Z36">C24*C31-C32*(C26^2)</f>
        <v>-0.3629576972020162</v>
      </c>
      <c r="D36" s="164">
        <f t="shared" si="13"/>
        <v>-0.8272421013861304</v>
      </c>
      <c r="E36" s="164">
        <f t="shared" si="13"/>
        <v>-0.8643387270978058</v>
      </c>
      <c r="F36" s="164">
        <f t="shared" si="13"/>
        <v>-0.5932119702036464</v>
      </c>
      <c r="G36" s="164">
        <f t="shared" si="13"/>
        <v>-0.4294713267506718</v>
      </c>
      <c r="H36" s="164">
        <f t="shared" si="13"/>
        <v>-0.35074649637387467</v>
      </c>
      <c r="I36" s="164">
        <f t="shared" si="13"/>
        <v>-0.29108956865798985</v>
      </c>
      <c r="J36" s="164">
        <f t="shared" si="13"/>
        <v>-0.22392080355407856</v>
      </c>
      <c r="K36" s="164">
        <f t="shared" si="13"/>
        <v>-0.14922558701482586</v>
      </c>
      <c r="L36" s="164">
        <f t="shared" si="13"/>
        <v>-0.07924461073751844</v>
      </c>
      <c r="M36" s="164">
        <f t="shared" si="13"/>
        <v>-0.02567481235970319</v>
      </c>
      <c r="N36" s="164">
        <f t="shared" si="13"/>
        <v>0.008664205332703224</v>
      </c>
      <c r="O36" s="164">
        <f t="shared" si="13"/>
        <v>0.03209733374471519</v>
      </c>
      <c r="P36" s="164">
        <f t="shared" si="13"/>
        <v>0.06089914675159696</v>
      </c>
      <c r="Q36" s="164">
        <f t="shared" si="13"/>
        <v>0.11264487851469375</v>
      </c>
      <c r="R36" s="164">
        <f t="shared" si="13"/>
        <v>0.1986312227255589</v>
      </c>
      <c r="S36" s="164">
        <f t="shared" si="13"/>
        <v>0.31794706522090227</v>
      </c>
      <c r="T36" s="164">
        <f t="shared" si="13"/>
        <v>0.4550110644473928</v>
      </c>
      <c r="U36" s="164">
        <f t="shared" si="13"/>
        <v>0.5813657241388008</v>
      </c>
      <c r="V36" s="164">
        <f t="shared" si="13"/>
        <v>0.66155362076884</v>
      </c>
      <c r="W36" s="164">
        <f t="shared" si="13"/>
        <v>0.6617515492858075</v>
      </c>
      <c r="X36" s="164">
        <f t="shared" si="13"/>
        <v>0.5595999192408653</v>
      </c>
      <c r="Y36" s="164">
        <f t="shared" si="13"/>
        <v>0.3534442073276467</v>
      </c>
      <c r="Z36" s="164">
        <f t="shared" si="13"/>
        <v>0.06320390234202516</v>
      </c>
    </row>
    <row r="37" spans="1:26" s="3" customFormat="1" ht="15.75" thickBot="1">
      <c r="A37" s="165" t="s">
        <v>54</v>
      </c>
      <c r="B37" s="166">
        <f>B31^2+B32^2-$D$5^2</f>
        <v>0</v>
      </c>
      <c r="C37" s="166">
        <f aca="true" t="shared" si="14" ref="C37:Z37">C31^2+C32^2-$D$5^2</f>
        <v>0</v>
      </c>
      <c r="D37" s="166">
        <f t="shared" si="14"/>
        <v>0</v>
      </c>
      <c r="E37" s="166">
        <f t="shared" si="14"/>
        <v>0</v>
      </c>
      <c r="F37" s="166">
        <f t="shared" si="14"/>
        <v>0</v>
      </c>
      <c r="G37" s="166">
        <f t="shared" si="14"/>
        <v>0</v>
      </c>
      <c r="H37" s="166">
        <f t="shared" si="14"/>
        <v>0</v>
      </c>
      <c r="I37" s="166">
        <f t="shared" si="14"/>
        <v>0</v>
      </c>
      <c r="J37" s="166">
        <f t="shared" si="14"/>
        <v>0</v>
      </c>
      <c r="K37" s="166">
        <f t="shared" si="14"/>
        <v>0</v>
      </c>
      <c r="L37" s="166">
        <f t="shared" si="14"/>
        <v>0</v>
      </c>
      <c r="M37" s="166">
        <f t="shared" si="14"/>
        <v>0</v>
      </c>
      <c r="N37" s="166">
        <f t="shared" si="14"/>
        <v>0</v>
      </c>
      <c r="O37" s="166">
        <f t="shared" si="14"/>
        <v>0</v>
      </c>
      <c r="P37" s="166">
        <f t="shared" si="14"/>
        <v>0</v>
      </c>
      <c r="Q37" s="166">
        <f t="shared" si="14"/>
        <v>0</v>
      </c>
      <c r="R37" s="166">
        <f t="shared" si="14"/>
        <v>0</v>
      </c>
      <c r="S37" s="166">
        <f t="shared" si="14"/>
        <v>0</v>
      </c>
      <c r="T37" s="166">
        <f t="shared" si="14"/>
        <v>0</v>
      </c>
      <c r="U37" s="166">
        <f t="shared" si="14"/>
        <v>0</v>
      </c>
      <c r="V37" s="166">
        <f t="shared" si="14"/>
        <v>0</v>
      </c>
      <c r="W37" s="166">
        <f t="shared" si="14"/>
        <v>0</v>
      </c>
      <c r="X37" s="166">
        <f t="shared" si="14"/>
        <v>0</v>
      </c>
      <c r="Y37" s="166">
        <f t="shared" si="14"/>
        <v>0</v>
      </c>
      <c r="Z37" s="166">
        <f t="shared" si="14"/>
        <v>0</v>
      </c>
    </row>
    <row r="38" spans="1:26" s="1" customFormat="1" ht="15.75" thickBot="1">
      <c r="A38" s="167" t="s">
        <v>63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s="4" customFormat="1" ht="15">
      <c r="A39" s="52" t="s">
        <v>110</v>
      </c>
      <c r="B39" s="168">
        <f>B31+($I$5-$F$5)*COS(B21)-($J$5-$G$5)*SIN(B21)</f>
        <v>1</v>
      </c>
      <c r="C39" s="168">
        <f aca="true" t="shared" si="15" ref="C39:Z39">C31+($I$5-$F$5)*COS(C21)-($J$5-$G$5)*SIN(C21)</f>
        <v>-0.06935035412101476</v>
      </c>
      <c r="D39" s="168">
        <f t="shared" si="15"/>
        <v>-1.1339745962155612</v>
      </c>
      <c r="E39" s="168">
        <f t="shared" si="15"/>
        <v>-2.1213203435596424</v>
      </c>
      <c r="F39" s="168">
        <f t="shared" si="15"/>
        <v>-2.9641016151377544</v>
      </c>
      <c r="G39" s="168">
        <f t="shared" si="15"/>
        <v>-3.604884260053753</v>
      </c>
      <c r="H39" s="168">
        <f t="shared" si="15"/>
        <v>-4</v>
      </c>
      <c r="I39" s="168">
        <f t="shared" si="15"/>
        <v>-4.122522350258794</v>
      </c>
      <c r="J39" s="168">
        <f t="shared" si="15"/>
        <v>-3.964101615137755</v>
      </c>
      <c r="K39" s="168">
        <f t="shared" si="15"/>
        <v>-3.5355339059327378</v>
      </c>
      <c r="L39" s="168">
        <f t="shared" si="15"/>
        <v>-2.8660254037844384</v>
      </c>
      <c r="M39" s="168">
        <f t="shared" si="15"/>
        <v>-2.0012020066991525</v>
      </c>
      <c r="N39" s="168">
        <f t="shared" si="15"/>
        <v>-1.0000000000000004</v>
      </c>
      <c r="O39" s="168">
        <f t="shared" si="15"/>
        <v>0.06935035412101498</v>
      </c>
      <c r="P39" s="168">
        <f t="shared" si="15"/>
        <v>1.1339745962155618</v>
      </c>
      <c r="Q39" s="168">
        <f t="shared" si="15"/>
        <v>2.121320343559642</v>
      </c>
      <c r="R39" s="168">
        <f t="shared" si="15"/>
        <v>2.9641016151377535</v>
      </c>
      <c r="S39" s="168">
        <f t="shared" si="15"/>
        <v>3.604884260053753</v>
      </c>
      <c r="T39" s="168">
        <f t="shared" si="15"/>
        <v>4</v>
      </c>
      <c r="U39" s="168">
        <f t="shared" si="15"/>
        <v>4.122522350258794</v>
      </c>
      <c r="V39" s="168">
        <f t="shared" si="15"/>
        <v>3.964101615137755</v>
      </c>
      <c r="W39" s="168">
        <f t="shared" si="15"/>
        <v>3.535533905932738</v>
      </c>
      <c r="X39" s="168">
        <f t="shared" si="15"/>
        <v>2.86602540378444</v>
      </c>
      <c r="Y39" s="168">
        <f t="shared" si="15"/>
        <v>2.001202006699151</v>
      </c>
      <c r="Z39" s="168">
        <f t="shared" si="15"/>
        <v>1.0000000000000009</v>
      </c>
    </row>
    <row r="40" spans="1:26" s="4" customFormat="1" ht="15">
      <c r="A40" s="53" t="s">
        <v>111</v>
      </c>
      <c r="B40" s="168">
        <f>B32+($I$5-$F$5)*SIN(B21)+($J$5-$G$5)*COS(B21)</f>
        <v>4</v>
      </c>
      <c r="C40" s="168">
        <f aca="true" t="shared" si="16" ref="C40:Z40">C32+($I$5-$F$5)*SIN(C21)+($J$5-$G$5)*COS(C21)</f>
        <v>4.122522350258794</v>
      </c>
      <c r="D40" s="168">
        <f t="shared" si="16"/>
        <v>3.9641016151377553</v>
      </c>
      <c r="E40" s="168">
        <f t="shared" si="16"/>
        <v>3.5355339059327378</v>
      </c>
      <c r="F40" s="168">
        <f t="shared" si="16"/>
        <v>2.8660254037844393</v>
      </c>
      <c r="G40" s="168">
        <f t="shared" si="16"/>
        <v>2.0012020066991516</v>
      </c>
      <c r="H40" s="168">
        <f t="shared" si="16"/>
        <v>1.0000000000000002</v>
      </c>
      <c r="I40" s="168">
        <f t="shared" si="16"/>
        <v>-0.0693503541210152</v>
      </c>
      <c r="J40" s="168">
        <f t="shared" si="16"/>
        <v>-1.1339745962155603</v>
      </c>
      <c r="K40" s="168">
        <f t="shared" si="16"/>
        <v>-2.1213203435596424</v>
      </c>
      <c r="L40" s="168">
        <f t="shared" si="16"/>
        <v>-2.9641016151377553</v>
      </c>
      <c r="M40" s="168">
        <f t="shared" si="16"/>
        <v>-3.604884260053752</v>
      </c>
      <c r="N40" s="168">
        <f t="shared" si="16"/>
        <v>-4</v>
      </c>
      <c r="O40" s="168">
        <f t="shared" si="16"/>
        <v>-4.122522350258794</v>
      </c>
      <c r="P40" s="168">
        <f t="shared" si="16"/>
        <v>-3.964101615137755</v>
      </c>
      <c r="Q40" s="168">
        <f t="shared" si="16"/>
        <v>-3.535533905932738</v>
      </c>
      <c r="R40" s="168">
        <f t="shared" si="16"/>
        <v>-2.86602540378444</v>
      </c>
      <c r="S40" s="168">
        <f t="shared" si="16"/>
        <v>-2.0012020066991507</v>
      </c>
      <c r="T40" s="168">
        <f t="shared" si="16"/>
        <v>-1.0000000000000007</v>
      </c>
      <c r="U40" s="168">
        <f t="shared" si="16"/>
        <v>0.06935035412101287</v>
      </c>
      <c r="V40" s="168">
        <f t="shared" si="16"/>
        <v>1.1339745962155618</v>
      </c>
      <c r="W40" s="168">
        <f t="shared" si="16"/>
        <v>2.121320343559642</v>
      </c>
      <c r="X40" s="168">
        <f t="shared" si="16"/>
        <v>2.9641016151377535</v>
      </c>
      <c r="Y40" s="168">
        <f t="shared" si="16"/>
        <v>3.604884260053753</v>
      </c>
      <c r="Z40" s="168">
        <f t="shared" si="16"/>
        <v>4</v>
      </c>
    </row>
    <row r="41" spans="1:26" s="4" customFormat="1" ht="15">
      <c r="A41" s="53" t="s">
        <v>112</v>
      </c>
      <c r="B41" s="168">
        <f>B33-B26*(B40-B32)</f>
        <v>-4</v>
      </c>
      <c r="C41" s="168">
        <f aca="true" t="shared" si="17" ref="C41:Z41">C33-C26*(C40-C32)</f>
        <v>-4.122522350258794</v>
      </c>
      <c r="D41" s="168">
        <f t="shared" si="17"/>
        <v>-3.8698286443267462</v>
      </c>
      <c r="E41" s="168">
        <f t="shared" si="17"/>
        <v>-3.079335954414216</v>
      </c>
      <c r="F41" s="168">
        <f t="shared" si="17"/>
        <v>-2.1010303156631873</v>
      </c>
      <c r="G41" s="168">
        <f t="shared" si="17"/>
        <v>-1.2854551058507928</v>
      </c>
      <c r="H41" s="168">
        <f t="shared" si="17"/>
        <v>-0.5932744335501552</v>
      </c>
      <c r="I41" s="168">
        <f t="shared" si="17"/>
        <v>0.03908439172000122</v>
      </c>
      <c r="J41" s="168">
        <f t="shared" si="17"/>
        <v>0.6118943014856069</v>
      </c>
      <c r="K41" s="168">
        <f t="shared" si="17"/>
        <v>1.0933902107790119</v>
      </c>
      <c r="L41" s="168">
        <f t="shared" si="17"/>
        <v>1.4538563715692105</v>
      </c>
      <c r="M41" s="168">
        <f t="shared" si="17"/>
        <v>1.6858961967114408</v>
      </c>
      <c r="N41" s="168">
        <f t="shared" si="17"/>
        <v>1.8078238945080527</v>
      </c>
      <c r="O41" s="168">
        <f t="shared" si="17"/>
        <v>1.8510195776055123</v>
      </c>
      <c r="P41" s="168">
        <f t="shared" si="17"/>
        <v>1.8363263430445043</v>
      </c>
      <c r="Q41" s="168">
        <f t="shared" si="17"/>
        <v>1.7534712528842569</v>
      </c>
      <c r="R41" s="168">
        <f t="shared" si="17"/>
        <v>1.561446988018513</v>
      </c>
      <c r="S41" s="168">
        <f t="shared" si="17"/>
        <v>1.2112249419993937</v>
      </c>
      <c r="T41" s="168">
        <f t="shared" si="17"/>
        <v>0.6722930065585133</v>
      </c>
      <c r="U41" s="168">
        <f t="shared" si="17"/>
        <v>-0.05142382684672131</v>
      </c>
      <c r="V41" s="168">
        <f t="shared" si="17"/>
        <v>-0.9175891950804802</v>
      </c>
      <c r="W41" s="168">
        <f t="shared" si="17"/>
        <v>-1.8501924966038756</v>
      </c>
      <c r="X41" s="168">
        <f t="shared" si="17"/>
        <v>-2.7501481616190793</v>
      </c>
      <c r="Y41" s="168">
        <f t="shared" si="17"/>
        <v>-3.510117561406576</v>
      </c>
      <c r="Z41" s="168">
        <f t="shared" si="17"/>
        <v>-4.032369887836273</v>
      </c>
    </row>
    <row r="42" spans="1:26" s="4" customFormat="1" ht="15">
      <c r="A42" s="53" t="s">
        <v>113</v>
      </c>
      <c r="B42" s="168">
        <f>B34+B26*(B39-B31)</f>
        <v>1</v>
      </c>
      <c r="C42" s="168">
        <f aca="true" t="shared" si="18" ref="C42:Z42">C34+C26*(C39-C31)</f>
        <v>-0.06935035412101476</v>
      </c>
      <c r="D42" s="168">
        <f t="shared" si="18"/>
        <v>-1.107006782474051</v>
      </c>
      <c r="E42" s="168">
        <f t="shared" si="18"/>
        <v>-1.8476015726485293</v>
      </c>
      <c r="F42" s="168">
        <f t="shared" si="18"/>
        <v>-2.1729281756844596</v>
      </c>
      <c r="G42" s="168">
        <f t="shared" si="18"/>
        <v>-2.3155667756552916</v>
      </c>
      <c r="H42" s="168">
        <f t="shared" si="18"/>
        <v>-2.37309773420062</v>
      </c>
      <c r="I42" s="168">
        <f t="shared" si="18"/>
        <v>-2.3233663397134467</v>
      </c>
      <c r="J42" s="168">
        <f t="shared" si="18"/>
        <v>-2.1390348574895155</v>
      </c>
      <c r="K42" s="168">
        <f t="shared" si="18"/>
        <v>-1.8223170179650203</v>
      </c>
      <c r="L42" s="168">
        <f t="shared" si="18"/>
        <v>-1.4057511635536741</v>
      </c>
      <c r="M42" s="168">
        <f t="shared" si="18"/>
        <v>-0.9359021284902772</v>
      </c>
      <c r="N42" s="168">
        <f t="shared" si="18"/>
        <v>-0.4519559736270134</v>
      </c>
      <c r="O42" s="168">
        <f t="shared" si="18"/>
        <v>0.03113842746875961</v>
      </c>
      <c r="P42" s="168">
        <f t="shared" si="18"/>
        <v>0.5253012222042972</v>
      </c>
      <c r="Q42" s="168">
        <f t="shared" si="18"/>
        <v>1.0520827517305535</v>
      </c>
      <c r="R42" s="168">
        <f t="shared" si="18"/>
        <v>1.6148801518040412</v>
      </c>
      <c r="S42" s="168">
        <f t="shared" si="18"/>
        <v>2.1818515643006458</v>
      </c>
      <c r="T42" s="168">
        <f t="shared" si="18"/>
        <v>2.6891720262340515</v>
      </c>
      <c r="U42" s="168">
        <f t="shared" si="18"/>
        <v>3.0568823793102005</v>
      </c>
      <c r="V42" s="168">
        <f t="shared" si="18"/>
        <v>3.2076704561025564</v>
      </c>
      <c r="W42" s="168">
        <f t="shared" si="18"/>
        <v>3.0836541610064616</v>
      </c>
      <c r="X42" s="168">
        <f t="shared" si="18"/>
        <v>2.6591512433709363</v>
      </c>
      <c r="Y42" s="168">
        <f t="shared" si="18"/>
        <v>1.9485935749659904</v>
      </c>
      <c r="Z42" s="168">
        <f t="shared" si="18"/>
        <v>1.0080924719590691</v>
      </c>
    </row>
    <row r="43" spans="1:26" s="4" customFormat="1" ht="15">
      <c r="A43" s="53" t="s">
        <v>114</v>
      </c>
      <c r="B43" s="168">
        <f>B35-B24*(B40-B32)-B26^2*(B39-B31)</f>
        <v>-1</v>
      </c>
      <c r="C43" s="168">
        <f aca="true" t="shared" si="19" ref="C43:Z43">C35-C24*(C40-C32)-C26^2*(C39-C31)</f>
        <v>0.4438374064117774</v>
      </c>
      <c r="D43" s="168">
        <f t="shared" si="19"/>
        <v>2.6364584207657185</v>
      </c>
      <c r="E43" s="168">
        <f t="shared" si="19"/>
        <v>3.2310459260247217</v>
      </c>
      <c r="F43" s="168">
        <f t="shared" si="19"/>
        <v>2.3211535957239917</v>
      </c>
      <c r="G43" s="168">
        <f t="shared" si="19"/>
        <v>1.7283077271948315</v>
      </c>
      <c r="H43" s="168">
        <f t="shared" si="19"/>
        <v>1.4751926415950996</v>
      </c>
      <c r="I43" s="168">
        <f t="shared" si="19"/>
        <v>1.3058204715848623</v>
      </c>
      <c r="J43" s="168">
        <f t="shared" si="19"/>
        <v>1.0977291245376755</v>
      </c>
      <c r="K43" s="168">
        <f t="shared" si="19"/>
        <v>0.8351103052132605</v>
      </c>
      <c r="L43" s="168">
        <f t="shared" si="19"/>
        <v>0.5627881923436431</v>
      </c>
      <c r="M43" s="168">
        <f t="shared" si="19"/>
        <v>0.3365005708149047</v>
      </c>
      <c r="N43" s="168">
        <f t="shared" si="19"/>
        <v>0.18386388120099179</v>
      </c>
      <c r="O43" s="168">
        <f t="shared" si="19"/>
        <v>0.08668154679794882</v>
      </c>
      <c r="P43" s="168">
        <f t="shared" si="19"/>
        <v>-0.013850593443768267</v>
      </c>
      <c r="Q43" s="168">
        <f t="shared" si="19"/>
        <v>-0.19456046890384476</v>
      </c>
      <c r="R43" s="168">
        <f t="shared" si="19"/>
        <v>-0.5193492766956683</v>
      </c>
      <c r="S43" s="168">
        <f t="shared" si="19"/>
        <v>-1.0103798573369798</v>
      </c>
      <c r="T43" s="168">
        <f t="shared" si="19"/>
        <v>-1.6301700866369602</v>
      </c>
      <c r="U43" s="168">
        <f t="shared" si="19"/>
        <v>-2.2799944767384983</v>
      </c>
      <c r="V43" s="168">
        <f t="shared" si="19"/>
        <v>-2.8164255470138637</v>
      </c>
      <c r="W43" s="168">
        <f t="shared" si="19"/>
        <v>-3.0826740708610765</v>
      </c>
      <c r="X43" s="168">
        <f t="shared" si="19"/>
        <v>-2.9493074275874376</v>
      </c>
      <c r="Y43" s="168">
        <f t="shared" si="19"/>
        <v>-2.358335447862526</v>
      </c>
      <c r="Z43" s="168">
        <f t="shared" si="19"/>
        <v>-1.340059421392881</v>
      </c>
    </row>
    <row r="44" spans="1:26" s="4" customFormat="1" ht="15">
      <c r="A44" s="53" t="s">
        <v>115</v>
      </c>
      <c r="B44" s="168">
        <f>B36+B24*(B39-B31)-B26^2*(B40-B32)</f>
        <v>-4</v>
      </c>
      <c r="C44" s="168">
        <f aca="true" t="shared" si="20" ref="C44:Z44">C36+C24*(C39-C31)-C26^2*(C40-C32)</f>
        <v>-4.116222612505167</v>
      </c>
      <c r="D44" s="168">
        <f t="shared" si="20"/>
        <v>-3.3327503082458962</v>
      </c>
      <c r="E44" s="168">
        <f t="shared" si="20"/>
        <v>-1.7088955157271308</v>
      </c>
      <c r="F44" s="168">
        <f t="shared" si="20"/>
        <v>-0.7870865760548305</v>
      </c>
      <c r="G44" s="168">
        <f t="shared" si="20"/>
        <v>-0.39171207941949554</v>
      </c>
      <c r="H44" s="168">
        <f t="shared" si="20"/>
        <v>-0.08279684319197426</v>
      </c>
      <c r="I44" s="168">
        <f t="shared" si="20"/>
        <v>0.2348172386703628</v>
      </c>
      <c r="J44" s="168">
        <f t="shared" si="20"/>
        <v>0.527679336185457</v>
      </c>
      <c r="K44" s="168">
        <f t="shared" si="20"/>
        <v>0.7371732762874013</v>
      </c>
      <c r="L44" s="168">
        <f t="shared" si="20"/>
        <v>0.8356223059724569</v>
      </c>
      <c r="M44" s="168">
        <f t="shared" si="20"/>
        <v>0.8446188401574741</v>
      </c>
      <c r="N44" s="168">
        <f t="shared" si="20"/>
        <v>0.8221568886126033</v>
      </c>
      <c r="O44" s="168">
        <f t="shared" si="20"/>
        <v>0.8328043325452891</v>
      </c>
      <c r="P44" s="168">
        <f t="shared" si="20"/>
        <v>0.916305872995277</v>
      </c>
      <c r="Q44" s="168">
        <f t="shared" si="20"/>
        <v>1.0659817076334637</v>
      </c>
      <c r="R44" s="168">
        <f t="shared" si="20"/>
        <v>1.223489005567869</v>
      </c>
      <c r="S44" s="168">
        <f t="shared" si="20"/>
        <v>1.2918434299580557</v>
      </c>
      <c r="T44" s="168">
        <f t="shared" si="20"/>
        <v>1.1629437267993976</v>
      </c>
      <c r="U44" s="168">
        <f t="shared" si="20"/>
        <v>0.7520350627958763</v>
      </c>
      <c r="V44" s="168">
        <f t="shared" si="20"/>
        <v>0.029522155137329698</v>
      </c>
      <c r="W44" s="168">
        <f t="shared" si="20"/>
        <v>-0.9584769065575824</v>
      </c>
      <c r="X44" s="168">
        <f t="shared" si="20"/>
        <v>-2.0854920099137626</v>
      </c>
      <c r="Y44" s="168">
        <f t="shared" si="20"/>
        <v>-3.1619424542610406</v>
      </c>
      <c r="Z44" s="168">
        <f t="shared" si="20"/>
        <v>-3.9840494807390954</v>
      </c>
    </row>
    <row r="45" spans="1:26" s="3" customFormat="1" ht="15" customHeight="1">
      <c r="A45" s="98" t="s">
        <v>46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s="4" customFormat="1" ht="15">
      <c r="A46" s="53" t="s">
        <v>116</v>
      </c>
      <c r="B46" s="168">
        <f>$O$5*B43</f>
        <v>-1</v>
      </c>
      <c r="C46" s="168">
        <f aca="true" t="shared" si="21" ref="C46:Z46">$O$5*C43</f>
        <v>0.4438374064117774</v>
      </c>
      <c r="D46" s="168">
        <f t="shared" si="21"/>
        <v>2.6364584207657185</v>
      </c>
      <c r="E46" s="168">
        <f t="shared" si="21"/>
        <v>3.2310459260247217</v>
      </c>
      <c r="F46" s="168">
        <f t="shared" si="21"/>
        <v>2.3211535957239917</v>
      </c>
      <c r="G46" s="168">
        <f t="shared" si="21"/>
        <v>1.7283077271948315</v>
      </c>
      <c r="H46" s="168">
        <f t="shared" si="21"/>
        <v>1.4751926415950996</v>
      </c>
      <c r="I46" s="168">
        <f t="shared" si="21"/>
        <v>1.3058204715848623</v>
      </c>
      <c r="J46" s="168">
        <f t="shared" si="21"/>
        <v>1.0977291245376755</v>
      </c>
      <c r="K46" s="168">
        <f t="shared" si="21"/>
        <v>0.8351103052132605</v>
      </c>
      <c r="L46" s="168">
        <f t="shared" si="21"/>
        <v>0.5627881923436431</v>
      </c>
      <c r="M46" s="168">
        <f t="shared" si="21"/>
        <v>0.3365005708149047</v>
      </c>
      <c r="N46" s="168">
        <f t="shared" si="21"/>
        <v>0.18386388120099179</v>
      </c>
      <c r="O46" s="168">
        <f t="shared" si="21"/>
        <v>0.08668154679794882</v>
      </c>
      <c r="P46" s="168">
        <f t="shared" si="21"/>
        <v>-0.013850593443768267</v>
      </c>
      <c r="Q46" s="168">
        <f t="shared" si="21"/>
        <v>-0.19456046890384476</v>
      </c>
      <c r="R46" s="168">
        <f t="shared" si="21"/>
        <v>-0.5193492766956683</v>
      </c>
      <c r="S46" s="168">
        <f t="shared" si="21"/>
        <v>-1.0103798573369798</v>
      </c>
      <c r="T46" s="168">
        <f t="shared" si="21"/>
        <v>-1.6301700866369602</v>
      </c>
      <c r="U46" s="168">
        <f t="shared" si="21"/>
        <v>-2.2799944767384983</v>
      </c>
      <c r="V46" s="168">
        <f t="shared" si="21"/>
        <v>-2.8164255470138637</v>
      </c>
      <c r="W46" s="168">
        <f t="shared" si="21"/>
        <v>-3.0826740708610765</v>
      </c>
      <c r="X46" s="168">
        <f t="shared" si="21"/>
        <v>-2.9493074275874376</v>
      </c>
      <c r="Y46" s="168">
        <f t="shared" si="21"/>
        <v>-2.358335447862526</v>
      </c>
      <c r="Z46" s="168">
        <f t="shared" si="21"/>
        <v>-1.340059421392881</v>
      </c>
    </row>
    <row r="47" spans="1:26" s="4" customFormat="1" ht="15">
      <c r="A47" s="53" t="s">
        <v>117</v>
      </c>
      <c r="B47" s="168">
        <f>$O$5*B44</f>
        <v>-4</v>
      </c>
      <c r="C47" s="168">
        <f aca="true" t="shared" si="22" ref="C47:Z47">$O$5*C44</f>
        <v>-4.116222612505167</v>
      </c>
      <c r="D47" s="168">
        <f t="shared" si="22"/>
        <v>-3.3327503082458962</v>
      </c>
      <c r="E47" s="168">
        <f t="shared" si="22"/>
        <v>-1.7088955157271308</v>
      </c>
      <c r="F47" s="168">
        <f t="shared" si="22"/>
        <v>-0.7870865760548305</v>
      </c>
      <c r="G47" s="168">
        <f t="shared" si="22"/>
        <v>-0.39171207941949554</v>
      </c>
      <c r="H47" s="168">
        <f t="shared" si="22"/>
        <v>-0.08279684319197426</v>
      </c>
      <c r="I47" s="168">
        <f t="shared" si="22"/>
        <v>0.2348172386703628</v>
      </c>
      <c r="J47" s="168">
        <f t="shared" si="22"/>
        <v>0.527679336185457</v>
      </c>
      <c r="K47" s="168">
        <f t="shared" si="22"/>
        <v>0.7371732762874013</v>
      </c>
      <c r="L47" s="168">
        <f t="shared" si="22"/>
        <v>0.8356223059724569</v>
      </c>
      <c r="M47" s="168">
        <f t="shared" si="22"/>
        <v>0.8446188401574741</v>
      </c>
      <c r="N47" s="168">
        <f t="shared" si="22"/>
        <v>0.8221568886126033</v>
      </c>
      <c r="O47" s="168">
        <f t="shared" si="22"/>
        <v>0.8328043325452891</v>
      </c>
      <c r="P47" s="168">
        <f t="shared" si="22"/>
        <v>0.916305872995277</v>
      </c>
      <c r="Q47" s="168">
        <f t="shared" si="22"/>
        <v>1.0659817076334637</v>
      </c>
      <c r="R47" s="168">
        <f t="shared" si="22"/>
        <v>1.223489005567869</v>
      </c>
      <c r="S47" s="168">
        <f t="shared" si="22"/>
        <v>1.2918434299580557</v>
      </c>
      <c r="T47" s="168">
        <f t="shared" si="22"/>
        <v>1.1629437267993976</v>
      </c>
      <c r="U47" s="168">
        <f t="shared" si="22"/>
        <v>0.7520350627958763</v>
      </c>
      <c r="V47" s="168">
        <f t="shared" si="22"/>
        <v>0.029522155137329698</v>
      </c>
      <c r="W47" s="168">
        <f t="shared" si="22"/>
        <v>-0.9584769065575824</v>
      </c>
      <c r="X47" s="168">
        <f t="shared" si="22"/>
        <v>-2.0854920099137626</v>
      </c>
      <c r="Y47" s="168">
        <f t="shared" si="22"/>
        <v>-3.1619424542610406</v>
      </c>
      <c r="Z47" s="168">
        <f t="shared" si="22"/>
        <v>-3.9840494807390954</v>
      </c>
    </row>
    <row r="48" spans="1:26" s="4" customFormat="1" ht="15">
      <c r="A48" s="53" t="s">
        <v>118</v>
      </c>
      <c r="B48" s="168">
        <f>$K$5*B24</f>
        <v>0</v>
      </c>
      <c r="C48" s="168">
        <f aca="true" t="shared" si="23" ref="C48:Z48">$K$5*C24</f>
        <v>-0.09083930188207565</v>
      </c>
      <c r="D48" s="168">
        <f t="shared" si="23"/>
        <v>-0.39246675876002884</v>
      </c>
      <c r="E48" s="168">
        <f t="shared" si="23"/>
        <v>-0.45872691767979024</v>
      </c>
      <c r="F48" s="168">
        <f t="shared" si="23"/>
        <v>-0.2540870929466581</v>
      </c>
      <c r="G48" s="168">
        <f t="shared" si="23"/>
        <v>-0.12038918719315769</v>
      </c>
      <c r="H48" s="168">
        <f t="shared" si="23"/>
        <v>-0.06729442757807076</v>
      </c>
      <c r="I48" s="168">
        <f t="shared" si="23"/>
        <v>-0.05161648250127899</v>
      </c>
      <c r="J48" s="168">
        <f t="shared" si="23"/>
        <v>-0.04982220988799516</v>
      </c>
      <c r="K48" s="168">
        <f t="shared" si="23"/>
        <v>-0.049103801958613975</v>
      </c>
      <c r="L48" s="168">
        <f t="shared" si="23"/>
        <v>-0.04275019805763198</v>
      </c>
      <c r="M48" s="168">
        <f t="shared" si="23"/>
        <v>-0.028071018034664424</v>
      </c>
      <c r="N48" s="168">
        <f t="shared" si="23"/>
        <v>-0.005100080224037432</v>
      </c>
      <c r="O48" s="168">
        <f t="shared" si="23"/>
        <v>0.024417758200298748</v>
      </c>
      <c r="P48" s="168">
        <f t="shared" si="23"/>
        <v>0.05789190720580639</v>
      </c>
      <c r="Q48" s="168">
        <f t="shared" si="23"/>
        <v>0.09255373810009397</v>
      </c>
      <c r="R48" s="168">
        <f t="shared" si="23"/>
        <v>0.12576926570942026</v>
      </c>
      <c r="S48" s="168">
        <f t="shared" si="23"/>
        <v>0.15499834406344012</v>
      </c>
      <c r="T48" s="168">
        <f t="shared" si="23"/>
        <v>0.17774146003297817</v>
      </c>
      <c r="U48" s="168">
        <f t="shared" si="23"/>
        <v>0.1916705752300025</v>
      </c>
      <c r="V48" s="168">
        <f t="shared" si="23"/>
        <v>0.19475199090049847</v>
      </c>
      <c r="W48" s="168">
        <f t="shared" si="23"/>
        <v>0.18533009517020946</v>
      </c>
      <c r="X48" s="168">
        <f t="shared" si="23"/>
        <v>0.16264551940278713</v>
      </c>
      <c r="Y48" s="168">
        <f t="shared" si="23"/>
        <v>0.12787298537600025</v>
      </c>
      <c r="Z48" s="168">
        <f t="shared" si="23"/>
        <v>0.08095224734308379</v>
      </c>
    </row>
    <row r="49" spans="1:26" s="171" customFormat="1" ht="15">
      <c r="A49" s="54" t="s">
        <v>122</v>
      </c>
      <c r="B49" s="170">
        <f>B46*B41+B47*B42+B48*B26</f>
        <v>0</v>
      </c>
      <c r="C49" s="170">
        <f aca="true" t="shared" si="24" ref="C49:Z49">C46*C41+C47*C42+C48*C26</f>
        <v>-1.6351074338773621</v>
      </c>
      <c r="D49" s="170">
        <f t="shared" si="24"/>
        <v>-6.896398363131116</v>
      </c>
      <c r="E49" s="170">
        <f t="shared" si="24"/>
        <v>-7.19165419202333</v>
      </c>
      <c r="F49" s="170">
        <f t="shared" si="24"/>
        <v>-3.352798031415004</v>
      </c>
      <c r="G49" s="170">
        <f t="shared" si="24"/>
        <v>-1.3919574871877765</v>
      </c>
      <c r="H49" s="170">
        <f t="shared" si="24"/>
        <v>-0.7186331412443135</v>
      </c>
      <c r="I49" s="170">
        <f t="shared" si="24"/>
        <v>-0.5236192265122166</v>
      </c>
      <c r="J49" s="170">
        <f t="shared" si="24"/>
        <v>-0.48391443296283554</v>
      </c>
      <c r="K49" s="170">
        <f t="shared" si="24"/>
        <v>-0.455571501804751</v>
      </c>
      <c r="L49" s="170">
        <f t="shared" si="24"/>
        <v>-0.3774322901959006</v>
      </c>
      <c r="M49" s="170">
        <f t="shared" si="24"/>
        <v>-0.23630351054642754</v>
      </c>
      <c r="N49" s="170">
        <f t="shared" si="24"/>
        <v>-0.041490211018152916</v>
      </c>
      <c r="O49" s="170">
        <f t="shared" si="24"/>
        <v>0.19734507258857145</v>
      </c>
      <c r="P49" s="170">
        <f t="shared" si="24"/>
        <v>0.4827201727656741</v>
      </c>
      <c r="Q49" s="170">
        <f t="shared" si="24"/>
        <v>0.8262474131550449</v>
      </c>
      <c r="R49" s="170">
        <f t="shared" si="24"/>
        <v>1.2333724382286755</v>
      </c>
      <c r="S49" s="170">
        <f t="shared" si="24"/>
        <v>1.688625872878401</v>
      </c>
      <c r="T49" s="170">
        <f t="shared" si="24"/>
        <v>2.1508981300020724</v>
      </c>
      <c r="U49" s="170">
        <f t="shared" si="24"/>
        <v>2.558253995224344</v>
      </c>
      <c r="V49" s="170">
        <f t="shared" si="24"/>
        <v>2.8366083482008673</v>
      </c>
      <c r="W49" s="170">
        <f t="shared" si="24"/>
        <v>2.909572024497456</v>
      </c>
      <c r="X49" s="170">
        <f t="shared" si="24"/>
        <v>2.7162992422871493</v>
      </c>
      <c r="Y49" s="170">
        <f t="shared" si="24"/>
        <v>2.2412053275296144</v>
      </c>
      <c r="Z49" s="170">
        <f t="shared" si="24"/>
        <v>1.4689323204251628</v>
      </c>
    </row>
    <row r="50" spans="1:26" s="4" customFormat="1" ht="15">
      <c r="A50" s="53" t="s">
        <v>121</v>
      </c>
      <c r="B50" s="168">
        <f>$L$5*B42</f>
        <v>9.81</v>
      </c>
      <c r="C50" s="168">
        <f aca="true" t="shared" si="25" ref="C50:Z50">$L$5*C42</f>
        <v>-0.6803269739271548</v>
      </c>
      <c r="D50" s="168">
        <f t="shared" si="25"/>
        <v>-10.859736536070441</v>
      </c>
      <c r="E50" s="168">
        <f t="shared" si="25"/>
        <v>-18.124971427682073</v>
      </c>
      <c r="F50" s="168">
        <f t="shared" si="25"/>
        <v>-21.31642540346455</v>
      </c>
      <c r="G50" s="168">
        <f t="shared" si="25"/>
        <v>-22.71571006917841</v>
      </c>
      <c r="H50" s="168">
        <f t="shared" si="25"/>
        <v>-23.280088772508083</v>
      </c>
      <c r="I50" s="168">
        <f t="shared" si="25"/>
        <v>-22.792223792588914</v>
      </c>
      <c r="J50" s="168">
        <f t="shared" si="25"/>
        <v>-20.98393195197215</v>
      </c>
      <c r="K50" s="168">
        <f t="shared" si="25"/>
        <v>-17.87692994623685</v>
      </c>
      <c r="L50" s="168">
        <f t="shared" si="25"/>
        <v>-13.790418914461544</v>
      </c>
      <c r="M50" s="168">
        <f t="shared" si="25"/>
        <v>-9.18119988048962</v>
      </c>
      <c r="N50" s="168">
        <f t="shared" si="25"/>
        <v>-4.433688101281001</v>
      </c>
      <c r="O50" s="168">
        <f t="shared" si="25"/>
        <v>0.3054679734685318</v>
      </c>
      <c r="P50" s="168">
        <f t="shared" si="25"/>
        <v>5.153204989824156</v>
      </c>
      <c r="Q50" s="168">
        <f t="shared" si="25"/>
        <v>10.320931794476731</v>
      </c>
      <c r="R50" s="168">
        <f t="shared" si="25"/>
        <v>15.841974289197646</v>
      </c>
      <c r="S50" s="168">
        <f t="shared" si="25"/>
        <v>21.403963845789335</v>
      </c>
      <c r="T50" s="168">
        <f t="shared" si="25"/>
        <v>26.380777577356046</v>
      </c>
      <c r="U50" s="168">
        <f t="shared" si="25"/>
        <v>29.988016141033068</v>
      </c>
      <c r="V50" s="168">
        <f t="shared" si="25"/>
        <v>31.46724717436608</v>
      </c>
      <c r="W50" s="168">
        <f t="shared" si="25"/>
        <v>30.25064731947339</v>
      </c>
      <c r="X50" s="168">
        <f t="shared" si="25"/>
        <v>26.086273697468886</v>
      </c>
      <c r="Y50" s="168">
        <f t="shared" si="25"/>
        <v>19.11570297041637</v>
      </c>
      <c r="Z50" s="168">
        <f t="shared" si="25"/>
        <v>9.889387149918468</v>
      </c>
    </row>
    <row r="51" spans="1:26" s="4" customFormat="1" ht="15">
      <c r="A51" s="53" t="s">
        <v>120</v>
      </c>
      <c r="B51" s="168">
        <f>0.5*$O$5*(B41^2+B42^2)+0.5*$K$5*B26^2</f>
        <v>9</v>
      </c>
      <c r="C51" s="168">
        <f aca="true" t="shared" si="26" ref="C51:Z51">0.5*$O$5*(C41^2+C42^2)+0.5*$K$5*C26^2</f>
        <v>9.000000000000002</v>
      </c>
      <c r="D51" s="168">
        <f t="shared" si="26"/>
        <v>8.57701998682694</v>
      </c>
      <c r="E51" s="168">
        <f t="shared" si="26"/>
        <v>6.82726314250664</v>
      </c>
      <c r="F51" s="168">
        <f t="shared" si="26"/>
        <v>4.836676893892489</v>
      </c>
      <c r="G51" s="168">
        <f t="shared" si="26"/>
        <v>3.7134234644169792</v>
      </c>
      <c r="H51" s="168">
        <f t="shared" si="26"/>
        <v>3.167770981538315</v>
      </c>
      <c r="I51" s="168">
        <f t="shared" si="26"/>
        <v>2.8585899202180136</v>
      </c>
      <c r="J51" s="168">
        <f t="shared" si="26"/>
        <v>2.6205272246889266</v>
      </c>
      <c r="K51" s="168">
        <f t="shared" si="26"/>
        <v>2.391004306054745</v>
      </c>
      <c r="L51" s="168">
        <f t="shared" si="26"/>
        <v>2.165206596874358</v>
      </c>
      <c r="M51" s="168">
        <f t="shared" si="26"/>
        <v>1.9684370012816816</v>
      </c>
      <c r="N51" s="168">
        <f t="shared" si="26"/>
        <v>1.838377818874273</v>
      </c>
      <c r="O51" s="168">
        <f t="shared" si="26"/>
        <v>1.8144228061821792</v>
      </c>
      <c r="P51" s="168">
        <f t="shared" si="26"/>
        <v>1.9313130770515752</v>
      </c>
      <c r="Q51" s="168">
        <f t="shared" si="26"/>
        <v>2.213756232977869</v>
      </c>
      <c r="R51" s="168">
        <f t="shared" si="26"/>
        <v>2.6713877299849744</v>
      </c>
      <c r="S51" s="168">
        <f t="shared" si="26"/>
        <v>3.296934057580205</v>
      </c>
      <c r="T51" s="168">
        <f t="shared" si="26"/>
        <v>4.0678009800073625</v>
      </c>
      <c r="U51" s="168">
        <f t="shared" si="26"/>
        <v>4.948504036361341</v>
      </c>
      <c r="V51" s="168">
        <f t="shared" si="26"/>
        <v>5.892945716054979</v>
      </c>
      <c r="W51" s="168">
        <f t="shared" si="26"/>
        <v>6.846424548978572</v>
      </c>
      <c r="X51" s="168">
        <f t="shared" si="26"/>
        <v>7.747623659635411</v>
      </c>
      <c r="Y51" s="168">
        <f t="shared" si="26"/>
        <v>8.533028231626018</v>
      </c>
      <c r="Z51" s="168">
        <f t="shared" si="26"/>
        <v>9.146253888184903</v>
      </c>
    </row>
    <row r="52" spans="1:26" s="171" customFormat="1" ht="15">
      <c r="A52" s="54" t="s">
        <v>119</v>
      </c>
      <c r="B52" s="172">
        <f>$L$5*(B40-$J$5)</f>
        <v>0</v>
      </c>
      <c r="C52" s="172">
        <f aca="true" t="shared" si="27" ref="C52:Z52">$L$5*(C40-$J$5)</f>
        <v>1.2019442560387734</v>
      </c>
      <c r="D52" s="172">
        <f t="shared" si="27"/>
        <v>-0.35216315549862076</v>
      </c>
      <c r="E52" s="172">
        <f t="shared" si="27"/>
        <v>-4.556412382799843</v>
      </c>
      <c r="F52" s="172">
        <f t="shared" si="27"/>
        <v>-11.124290788874651</v>
      </c>
      <c r="G52" s="172">
        <f t="shared" si="27"/>
        <v>-19.608208314281324</v>
      </c>
      <c r="H52" s="172">
        <f t="shared" si="27"/>
        <v>-29.43</v>
      </c>
      <c r="I52" s="172">
        <f t="shared" si="27"/>
        <v>-39.92032697392716</v>
      </c>
      <c r="J52" s="172">
        <f t="shared" si="27"/>
        <v>-50.364290788874655</v>
      </c>
      <c r="K52" s="172">
        <f t="shared" si="27"/>
        <v>-60.050152570320094</v>
      </c>
      <c r="L52" s="172">
        <f t="shared" si="27"/>
        <v>-68.31783684450139</v>
      </c>
      <c r="M52" s="172">
        <f t="shared" si="27"/>
        <v>-74.6039145911273</v>
      </c>
      <c r="N52" s="172">
        <f t="shared" si="27"/>
        <v>-78.48</v>
      </c>
      <c r="O52" s="172">
        <f t="shared" si="27"/>
        <v>-79.68194425603878</v>
      </c>
      <c r="P52" s="172">
        <f t="shared" si="27"/>
        <v>-78.12783684450139</v>
      </c>
      <c r="Q52" s="172">
        <f t="shared" si="27"/>
        <v>-73.92358761720016</v>
      </c>
      <c r="R52" s="172">
        <f t="shared" si="27"/>
        <v>-67.35570921112536</v>
      </c>
      <c r="S52" s="172">
        <f t="shared" si="27"/>
        <v>-58.87179168571867</v>
      </c>
      <c r="T52" s="172">
        <f t="shared" si="27"/>
        <v>-49.05000000000001</v>
      </c>
      <c r="U52" s="172">
        <f t="shared" si="27"/>
        <v>-38.559673026072865</v>
      </c>
      <c r="V52" s="172">
        <f t="shared" si="27"/>
        <v>-28.115709211125342</v>
      </c>
      <c r="W52" s="172">
        <f t="shared" si="27"/>
        <v>-18.429847429679914</v>
      </c>
      <c r="X52" s="172">
        <f t="shared" si="27"/>
        <v>-10.16216315549864</v>
      </c>
      <c r="Y52" s="172">
        <f t="shared" si="27"/>
        <v>-3.876085408872684</v>
      </c>
      <c r="Z52" s="172">
        <f t="shared" si="27"/>
        <v>0</v>
      </c>
    </row>
    <row r="53" spans="1:26" s="1" customFormat="1" ht="15.75" thickBot="1">
      <c r="A53" s="71" t="s">
        <v>190</v>
      </c>
      <c r="B53" s="173">
        <f>B49+B50</f>
        <v>9.81</v>
      </c>
      <c r="C53" s="173">
        <f aca="true" t="shared" si="28" ref="C53:Z53">C49+C50</f>
        <v>-2.315434407804517</v>
      </c>
      <c r="D53" s="173">
        <f t="shared" si="28"/>
        <v>-17.756134899201555</v>
      </c>
      <c r="E53" s="173">
        <f t="shared" si="28"/>
        <v>-25.316625619705405</v>
      </c>
      <c r="F53" s="173">
        <f t="shared" si="28"/>
        <v>-24.669223434879555</v>
      </c>
      <c r="G53" s="173">
        <f t="shared" si="28"/>
        <v>-24.107667556366188</v>
      </c>
      <c r="H53" s="173">
        <f t="shared" si="28"/>
        <v>-23.998721913752398</v>
      </c>
      <c r="I53" s="173">
        <f t="shared" si="28"/>
        <v>-23.31584301910113</v>
      </c>
      <c r="J53" s="173">
        <f t="shared" si="28"/>
        <v>-21.467846384934983</v>
      </c>
      <c r="K53" s="173">
        <f t="shared" si="28"/>
        <v>-18.3325014480416</v>
      </c>
      <c r="L53" s="173">
        <f t="shared" si="28"/>
        <v>-14.167851204657444</v>
      </c>
      <c r="M53" s="173">
        <f t="shared" si="28"/>
        <v>-9.417503391036048</v>
      </c>
      <c r="N53" s="173">
        <f t="shared" si="28"/>
        <v>-4.475178312299154</v>
      </c>
      <c r="O53" s="173">
        <f t="shared" si="28"/>
        <v>0.5028130460571032</v>
      </c>
      <c r="P53" s="173">
        <f t="shared" si="28"/>
        <v>5.63592516258983</v>
      </c>
      <c r="Q53" s="173">
        <f t="shared" si="28"/>
        <v>11.147179207631776</v>
      </c>
      <c r="R53" s="173">
        <f t="shared" si="28"/>
        <v>17.07534672742632</v>
      </c>
      <c r="S53" s="173">
        <f t="shared" si="28"/>
        <v>23.092589718667735</v>
      </c>
      <c r="T53" s="173">
        <f t="shared" si="28"/>
        <v>28.53167570735812</v>
      </c>
      <c r="U53" s="173">
        <f t="shared" si="28"/>
        <v>32.54627013625741</v>
      </c>
      <c r="V53" s="173">
        <f t="shared" si="28"/>
        <v>34.30385552256695</v>
      </c>
      <c r="W53" s="173">
        <f t="shared" si="28"/>
        <v>33.160219343970844</v>
      </c>
      <c r="X53" s="173">
        <f t="shared" si="28"/>
        <v>28.802572939756036</v>
      </c>
      <c r="Y53" s="173">
        <f t="shared" si="28"/>
        <v>21.35690829794598</v>
      </c>
      <c r="Z53" s="173">
        <f t="shared" si="28"/>
        <v>11.35831947034363</v>
      </c>
    </row>
    <row r="54" spans="1:26" s="1" customFormat="1" ht="15">
      <c r="A54" s="235" t="s">
        <v>64</v>
      </c>
      <c r="B54" s="236"/>
      <c r="C54" s="236"/>
      <c r="D54" s="237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s="1" customFormat="1" ht="15">
      <c r="A55" s="174" t="s">
        <v>73</v>
      </c>
      <c r="B55" s="175">
        <f>($B$12-B32)/($B$11-B31)</f>
        <v>0.4824741104187839</v>
      </c>
      <c r="C55" s="175">
        <f aca="true" t="shared" si="29" ref="C55:Z55">($B$12-C32)/($B$11-C31)</f>
        <v>0.21599535061496872</v>
      </c>
      <c r="D55" s="175">
        <f t="shared" si="29"/>
        <v>-0.013158596983874343</v>
      </c>
      <c r="E55" s="175">
        <f t="shared" si="29"/>
        <v>-0.1680324869557539</v>
      </c>
      <c r="F55" s="175">
        <f t="shared" si="29"/>
        <v>-0.2472426647800528</v>
      </c>
      <c r="G55" s="175">
        <f t="shared" si="29"/>
        <v>-0.2675055932377993</v>
      </c>
      <c r="H55" s="175">
        <f t="shared" si="29"/>
        <v>-0.24776182752142165</v>
      </c>
      <c r="I55" s="175">
        <f t="shared" si="29"/>
        <v>-0.20269560734676756</v>
      </c>
      <c r="J55" s="175">
        <f t="shared" si="29"/>
        <v>-0.142012681344749</v>
      </c>
      <c r="K55" s="175">
        <f t="shared" si="29"/>
        <v>-0.0715829520219414</v>
      </c>
      <c r="L55" s="175">
        <f t="shared" si="29"/>
        <v>0.005284309335226577</v>
      </c>
      <c r="M55" s="175">
        <f t="shared" si="29"/>
        <v>0.08688633327560855</v>
      </c>
      <c r="N55" s="175">
        <f t="shared" si="29"/>
        <v>0.17249289264677387</v>
      </c>
      <c r="O55" s="175">
        <f t="shared" si="29"/>
        <v>0.26192800078455314</v>
      </c>
      <c r="P55" s="175">
        <f t="shared" si="29"/>
        <v>0.3552602868794633</v>
      </c>
      <c r="Q55" s="175">
        <f t="shared" si="29"/>
        <v>0.452502556059065</v>
      </c>
      <c r="R55" s="175">
        <f t="shared" si="29"/>
        <v>0.5532092663916519</v>
      </c>
      <c r="S55" s="175">
        <f t="shared" si="29"/>
        <v>0.6558193348135006</v>
      </c>
      <c r="T55" s="175">
        <f t="shared" si="29"/>
        <v>0.7565254423280228</v>
      </c>
      <c r="U55" s="175">
        <f t="shared" si="29"/>
        <v>0.8474213361486157</v>
      </c>
      <c r="V55" s="175">
        <f t="shared" si="29"/>
        <v>0.9139408073509409</v>
      </c>
      <c r="W55" s="175">
        <f t="shared" si="29"/>
        <v>0.9328457078426476</v>
      </c>
      <c r="X55" s="175">
        <f t="shared" si="29"/>
        <v>0.8750905151742524</v>
      </c>
      <c r="Y55" s="175">
        <f t="shared" si="29"/>
        <v>0.7205193904036652</v>
      </c>
      <c r="Z55" s="175">
        <f t="shared" si="29"/>
        <v>0.4824741104187842</v>
      </c>
    </row>
    <row r="56" spans="1:26" s="1" customFormat="1" ht="15">
      <c r="A56" s="176" t="s">
        <v>71</v>
      </c>
      <c r="B56" s="175">
        <f>ATAN(B55)</f>
        <v>0.4495288514602932</v>
      </c>
      <c r="C56" s="175">
        <f aca="true" t="shared" si="30" ref="C56:Z56">ATAN(C55)</f>
        <v>0.21272733855446838</v>
      </c>
      <c r="D56" s="175">
        <f t="shared" si="30"/>
        <v>-0.013157837598222373</v>
      </c>
      <c r="E56" s="175">
        <f t="shared" si="30"/>
        <v>-0.16647728859330346</v>
      </c>
      <c r="F56" s="175">
        <f t="shared" si="30"/>
        <v>-0.2423818451538175</v>
      </c>
      <c r="G56" s="175">
        <f t="shared" si="30"/>
        <v>-0.2613854582361625</v>
      </c>
      <c r="H56" s="175">
        <f t="shared" si="30"/>
        <v>-0.24287104103747495</v>
      </c>
      <c r="I56" s="175">
        <f t="shared" si="30"/>
        <v>-0.19998614127154227</v>
      </c>
      <c r="J56" s="175">
        <f t="shared" si="30"/>
        <v>-0.14106938466003285</v>
      </c>
      <c r="K56" s="175">
        <f t="shared" si="30"/>
        <v>-0.07146106003449239</v>
      </c>
      <c r="L56" s="175">
        <f t="shared" si="30"/>
        <v>0.005284260149831194</v>
      </c>
      <c r="M56" s="175">
        <f t="shared" si="30"/>
        <v>0.08666867653328522</v>
      </c>
      <c r="N56" s="175">
        <f t="shared" si="30"/>
        <v>0.17081202652699276</v>
      </c>
      <c r="O56" s="175">
        <f t="shared" si="30"/>
        <v>0.25617312959502586</v>
      </c>
      <c r="P56" s="175">
        <f t="shared" si="30"/>
        <v>0.3413533359841715</v>
      </c>
      <c r="Q56" s="175">
        <f t="shared" si="30"/>
        <v>0.4249331036686123</v>
      </c>
      <c r="R56" s="175">
        <f t="shared" si="30"/>
        <v>0.5053037995945304</v>
      </c>
      <c r="S56" s="175">
        <f t="shared" si="30"/>
        <v>0.5804552694219295</v>
      </c>
      <c r="T56" s="175">
        <f t="shared" si="30"/>
        <v>0.6476643276694226</v>
      </c>
      <c r="U56" s="175">
        <f t="shared" si="30"/>
        <v>0.7029951107311975</v>
      </c>
      <c r="V56" s="175">
        <f t="shared" si="30"/>
        <v>0.7404640335104209</v>
      </c>
      <c r="W56" s="175">
        <f t="shared" si="30"/>
        <v>0.7506683915524142</v>
      </c>
      <c r="X56" s="175">
        <f t="shared" si="30"/>
        <v>0.7188812625535093</v>
      </c>
      <c r="Y56" s="175">
        <f t="shared" si="30"/>
        <v>0.6243650330190302</v>
      </c>
      <c r="Z56" s="175">
        <f t="shared" si="30"/>
        <v>0.4495288514602934</v>
      </c>
    </row>
    <row r="57" spans="1:26" s="1" customFormat="1" ht="15">
      <c r="A57" s="176" t="s">
        <v>72</v>
      </c>
      <c r="B57" s="175">
        <f aca="true" t="shared" si="31" ref="B57:Z57">(B56)</f>
        <v>0.4495288514602932</v>
      </c>
      <c r="C57" s="175">
        <f t="shared" si="31"/>
        <v>0.21272733855446838</v>
      </c>
      <c r="D57" s="175">
        <f t="shared" si="31"/>
        <v>-0.013157837598222373</v>
      </c>
      <c r="E57" s="175">
        <f t="shared" si="31"/>
        <v>-0.16647728859330346</v>
      </c>
      <c r="F57" s="175">
        <f t="shared" si="31"/>
        <v>-0.2423818451538175</v>
      </c>
      <c r="G57" s="175">
        <f t="shared" si="31"/>
        <v>-0.2613854582361625</v>
      </c>
      <c r="H57" s="175">
        <f t="shared" si="31"/>
        <v>-0.24287104103747495</v>
      </c>
      <c r="I57" s="175">
        <f t="shared" si="31"/>
        <v>-0.19998614127154227</v>
      </c>
      <c r="J57" s="175">
        <f t="shared" si="31"/>
        <v>-0.14106938466003285</v>
      </c>
      <c r="K57" s="175">
        <f t="shared" si="31"/>
        <v>-0.07146106003449239</v>
      </c>
      <c r="L57" s="175">
        <f t="shared" si="31"/>
        <v>0.005284260149831194</v>
      </c>
      <c r="M57" s="175">
        <f t="shared" si="31"/>
        <v>0.08666867653328522</v>
      </c>
      <c r="N57" s="175">
        <f t="shared" si="31"/>
        <v>0.17081202652699276</v>
      </c>
      <c r="O57" s="175">
        <f t="shared" si="31"/>
        <v>0.25617312959502586</v>
      </c>
      <c r="P57" s="175">
        <f t="shared" si="31"/>
        <v>0.3413533359841715</v>
      </c>
      <c r="Q57" s="175">
        <f t="shared" si="31"/>
        <v>0.4249331036686123</v>
      </c>
      <c r="R57" s="175">
        <f t="shared" si="31"/>
        <v>0.5053037995945304</v>
      </c>
      <c r="S57" s="175">
        <f t="shared" si="31"/>
        <v>0.5804552694219295</v>
      </c>
      <c r="T57" s="175">
        <f t="shared" si="31"/>
        <v>0.6476643276694226</v>
      </c>
      <c r="U57" s="175">
        <f t="shared" si="31"/>
        <v>0.7029951107311975</v>
      </c>
      <c r="V57" s="175">
        <f t="shared" si="31"/>
        <v>0.7404640335104209</v>
      </c>
      <c r="W57" s="175">
        <f t="shared" si="31"/>
        <v>0.7506683915524142</v>
      </c>
      <c r="X57" s="175">
        <f t="shared" si="31"/>
        <v>0.7188812625535093</v>
      </c>
      <c r="Y57" s="175">
        <f t="shared" si="31"/>
        <v>0.6243650330190302</v>
      </c>
      <c r="Z57" s="175">
        <f t="shared" si="31"/>
        <v>0.4495288514602934</v>
      </c>
    </row>
    <row r="58" spans="1:26" s="1" customFormat="1" ht="15">
      <c r="A58" s="176" t="s">
        <v>77</v>
      </c>
      <c r="B58" s="175">
        <f aca="true" t="shared" si="32" ref="B58:Z58">($B$11-B31)/B61</f>
        <v>0.9006519357802661</v>
      </c>
      <c r="C58" s="175">
        <f t="shared" si="32"/>
        <v>0.9774587372286869</v>
      </c>
      <c r="D58" s="175">
        <f t="shared" si="32"/>
        <v>0.9999134369037599</v>
      </c>
      <c r="E58" s="175">
        <f t="shared" si="32"/>
        <v>0.9861746309691778</v>
      </c>
      <c r="F58" s="175">
        <f t="shared" si="32"/>
        <v>0.9707690492491953</v>
      </c>
      <c r="G58" s="175">
        <f t="shared" si="32"/>
        <v>0.9660328763904955</v>
      </c>
      <c r="H58" s="175">
        <f t="shared" si="32"/>
        <v>0.9706515184876046</v>
      </c>
      <c r="I58" s="175">
        <f t="shared" si="32"/>
        <v>0.980069331051432</v>
      </c>
      <c r="J58" s="175">
        <f t="shared" si="32"/>
        <v>0.9900662047775567</v>
      </c>
      <c r="K58" s="175">
        <f t="shared" si="32"/>
        <v>0.9974477448566065</v>
      </c>
      <c r="L58" s="175">
        <f t="shared" si="32"/>
        <v>0.9999860383298227</v>
      </c>
      <c r="M58" s="175">
        <f t="shared" si="32"/>
        <v>0.9962466205830902</v>
      </c>
      <c r="N58" s="175">
        <f t="shared" si="32"/>
        <v>0.985447061428404</v>
      </c>
      <c r="O58" s="175">
        <f t="shared" si="32"/>
        <v>0.9673667133373458</v>
      </c>
      <c r="P58" s="175">
        <f t="shared" si="32"/>
        <v>0.9423024822479894</v>
      </c>
      <c r="Q58" s="175">
        <f t="shared" si="32"/>
        <v>0.911066313663163</v>
      </c>
      <c r="R58" s="175">
        <f t="shared" si="32"/>
        <v>0.8750274535375002</v>
      </c>
      <c r="S58" s="175">
        <f t="shared" si="32"/>
        <v>0.8362130646959908</v>
      </c>
      <c r="T58" s="175">
        <f t="shared" si="32"/>
        <v>0.7974951429436141</v>
      </c>
      <c r="U58" s="175">
        <f t="shared" si="32"/>
        <v>0.7629092562831802</v>
      </c>
      <c r="V58" s="175">
        <f t="shared" si="32"/>
        <v>0.738155587048005</v>
      </c>
      <c r="W58" s="175">
        <f t="shared" si="32"/>
        <v>0.7312331038787511</v>
      </c>
      <c r="X58" s="175">
        <f t="shared" si="32"/>
        <v>0.7525429368411899</v>
      </c>
      <c r="Y58" s="175">
        <f t="shared" si="32"/>
        <v>0.8113344734459322</v>
      </c>
      <c r="Z58" s="175">
        <f t="shared" si="32"/>
        <v>0.9006519357802661</v>
      </c>
    </row>
    <row r="59" spans="1:26" s="1" customFormat="1" ht="15">
      <c r="A59" s="174" t="s">
        <v>69</v>
      </c>
      <c r="B59" s="175">
        <f>B57-$B$57</f>
        <v>0</v>
      </c>
      <c r="C59" s="175">
        <f aca="true" t="shared" si="33" ref="C59:H59">C57-$B$57</f>
        <v>-0.23680151290582482</v>
      </c>
      <c r="D59" s="175">
        <f t="shared" si="33"/>
        <v>-0.46268668905851557</v>
      </c>
      <c r="E59" s="175">
        <f t="shared" si="33"/>
        <v>-0.6160061400535967</v>
      </c>
      <c r="F59" s="175">
        <f t="shared" si="33"/>
        <v>-0.6919106966141106</v>
      </c>
      <c r="G59" s="175">
        <f t="shared" si="33"/>
        <v>-0.7109143096964556</v>
      </c>
      <c r="H59" s="175">
        <f t="shared" si="33"/>
        <v>-0.6923998924977681</v>
      </c>
      <c r="I59" s="175">
        <f aca="true" t="shared" si="34" ref="I59:Z59">I57-$B$57</f>
        <v>-0.6495149927318354</v>
      </c>
      <c r="J59" s="175">
        <f t="shared" si="34"/>
        <v>-0.590598236120326</v>
      </c>
      <c r="K59" s="175">
        <f t="shared" si="34"/>
        <v>-0.5209899114947856</v>
      </c>
      <c r="L59" s="175">
        <f t="shared" si="34"/>
        <v>-0.444244591310462</v>
      </c>
      <c r="M59" s="175">
        <f t="shared" si="34"/>
        <v>-0.36286017492700795</v>
      </c>
      <c r="N59" s="175">
        <f t="shared" si="34"/>
        <v>-0.2787168249333004</v>
      </c>
      <c r="O59" s="175">
        <f t="shared" si="34"/>
        <v>-0.19335572186526734</v>
      </c>
      <c r="P59" s="175">
        <f t="shared" si="34"/>
        <v>-0.1081755154761217</v>
      </c>
      <c r="Q59" s="175">
        <f t="shared" si="34"/>
        <v>-0.02459574779168089</v>
      </c>
      <c r="R59" s="175">
        <f t="shared" si="34"/>
        <v>0.05577494813423722</v>
      </c>
      <c r="S59" s="175">
        <f t="shared" si="34"/>
        <v>0.1309264179616363</v>
      </c>
      <c r="T59" s="175">
        <f t="shared" si="34"/>
        <v>0.1981354762091294</v>
      </c>
      <c r="U59" s="175">
        <f t="shared" si="34"/>
        <v>0.25346625927090427</v>
      </c>
      <c r="V59" s="175">
        <f t="shared" si="34"/>
        <v>0.2909351820501277</v>
      </c>
      <c r="W59" s="175">
        <f t="shared" si="34"/>
        <v>0.30113954009212096</v>
      </c>
      <c r="X59" s="175">
        <f t="shared" si="34"/>
        <v>0.26935241109321606</v>
      </c>
      <c r="Y59" s="175">
        <f t="shared" si="34"/>
        <v>0.17483618155873704</v>
      </c>
      <c r="Z59" s="175">
        <f t="shared" si="34"/>
        <v>0</v>
      </c>
    </row>
    <row r="60" spans="1:26" s="1" customFormat="1" ht="15">
      <c r="A60" s="177" t="s">
        <v>288</v>
      </c>
      <c r="B60" s="175">
        <f>($B$11-B31)^2+($B$12-B32)^2</f>
        <v>1.2331568129371515</v>
      </c>
      <c r="C60" s="175">
        <f aca="true" t="shared" si="35" ref="C60:Z60">($B$11-C31)^2+($B$12-C32)^2</f>
        <v>1.1293158604297253</v>
      </c>
      <c r="D60" s="175">
        <f t="shared" si="35"/>
        <v>1.306292722281496</v>
      </c>
      <c r="E60" s="175">
        <f t="shared" si="35"/>
        <v>1.7520267178253597</v>
      </c>
      <c r="F60" s="175">
        <f t="shared" si="35"/>
        <v>2.4361418118752556</v>
      </c>
      <c r="G60" s="175">
        <f t="shared" si="35"/>
        <v>3.3120166913253324</v>
      </c>
      <c r="H60" s="175">
        <f t="shared" si="35"/>
        <v>4.319961930592743</v>
      </c>
      <c r="I60" s="175">
        <f t="shared" si="35"/>
        <v>5.391287727329679</v>
      </c>
      <c r="J60" s="175">
        <f t="shared" si="35"/>
        <v>6.452984998938103</v>
      </c>
      <c r="K60" s="175">
        <f t="shared" si="35"/>
        <v>7.432700830895607</v>
      </c>
      <c r="L60" s="175">
        <f t="shared" si="35"/>
        <v>8.263669208311246</v>
      </c>
      <c r="M60" s="175">
        <f t="shared" si="35"/>
        <v>8.889261009504317</v>
      </c>
      <c r="N60" s="175">
        <f t="shared" si="35"/>
        <v>9.266843187062847</v>
      </c>
      <c r="O60" s="175">
        <f t="shared" si="35"/>
        <v>9.370684139570274</v>
      </c>
      <c r="P60" s="175">
        <f t="shared" si="35"/>
        <v>9.193707277718504</v>
      </c>
      <c r="Q60" s="175">
        <f t="shared" si="35"/>
        <v>8.747973282174641</v>
      </c>
      <c r="R60" s="175">
        <f t="shared" si="35"/>
        <v>8.063858188124746</v>
      </c>
      <c r="S60" s="175">
        <f t="shared" si="35"/>
        <v>7.187983308674669</v>
      </c>
      <c r="T60" s="175">
        <f t="shared" si="35"/>
        <v>6.180038069407257</v>
      </c>
      <c r="U60" s="175">
        <f t="shared" si="35"/>
        <v>5.108712272670324</v>
      </c>
      <c r="V60" s="175">
        <f t="shared" si="35"/>
        <v>4.0470150010618955</v>
      </c>
      <c r="W60" s="175">
        <f t="shared" si="35"/>
        <v>3.0672991691043934</v>
      </c>
      <c r="X60" s="175">
        <f t="shared" si="35"/>
        <v>2.236330791688755</v>
      </c>
      <c r="Y60" s="175">
        <f t="shared" si="35"/>
        <v>1.6107389904956815</v>
      </c>
      <c r="Z60" s="175">
        <f t="shared" si="35"/>
        <v>1.2331568129371517</v>
      </c>
    </row>
    <row r="61" spans="1:26" s="1" customFormat="1" ht="14.25">
      <c r="A61" s="177" t="s">
        <v>65</v>
      </c>
      <c r="B61" s="89">
        <f aca="true" t="shared" si="36" ref="B61:Z61">SQRT(B60)</f>
        <v>1.1104759398281223</v>
      </c>
      <c r="C61" s="89">
        <f t="shared" si="36"/>
        <v>1.062692740367471</v>
      </c>
      <c r="D61" s="89">
        <f t="shared" si="36"/>
        <v>1.1429316349990037</v>
      </c>
      <c r="E61" s="89">
        <f t="shared" si="36"/>
        <v>1.3236414612066818</v>
      </c>
      <c r="F61" s="89">
        <f t="shared" si="36"/>
        <v>1.5608144706771705</v>
      </c>
      <c r="G61" s="89">
        <f t="shared" si="36"/>
        <v>1.8198946923724275</v>
      </c>
      <c r="H61" s="89">
        <f t="shared" si="36"/>
        <v>2.078451810986423</v>
      </c>
      <c r="I61" s="89">
        <f t="shared" si="36"/>
        <v>2.321914668399698</v>
      </c>
      <c r="J61" s="89">
        <f t="shared" si="36"/>
        <v>2.5402726229556745</v>
      </c>
      <c r="K61" s="89">
        <f t="shared" si="36"/>
        <v>2.726298008453149</v>
      </c>
      <c r="L61" s="89">
        <f t="shared" si="36"/>
        <v>2.8746598421919844</v>
      </c>
      <c r="M61" s="89">
        <f t="shared" si="36"/>
        <v>2.9814863758709875</v>
      </c>
      <c r="N61" s="89">
        <f t="shared" si="36"/>
        <v>3.044149008682533</v>
      </c>
      <c r="O61" s="89">
        <f t="shared" si="36"/>
        <v>3.0611573202908526</v>
      </c>
      <c r="P61" s="89">
        <f t="shared" si="36"/>
        <v>3.0321126756303936</v>
      </c>
      <c r="Q61" s="89">
        <f t="shared" si="36"/>
        <v>2.9576972938714743</v>
      </c>
      <c r="R61" s="89">
        <f t="shared" si="36"/>
        <v>2.839693326421842</v>
      </c>
      <c r="S61" s="89">
        <f t="shared" si="36"/>
        <v>2.6810414597082732</v>
      </c>
      <c r="T61" s="89">
        <f t="shared" si="36"/>
        <v>2.4859682358001396</v>
      </c>
      <c r="U61" s="89">
        <f t="shared" si="36"/>
        <v>2.260246064628877</v>
      </c>
      <c r="V61" s="89">
        <f t="shared" si="36"/>
        <v>2.0117194140987693</v>
      </c>
      <c r="W61" s="89">
        <f t="shared" si="36"/>
        <v>1.7513706544031145</v>
      </c>
      <c r="X61" s="89">
        <f t="shared" si="36"/>
        <v>1.4954366558596708</v>
      </c>
      <c r="Y61" s="89">
        <f t="shared" si="36"/>
        <v>1.2691489236869256</v>
      </c>
      <c r="Z61" s="89">
        <f t="shared" si="36"/>
        <v>1.1104759398281223</v>
      </c>
    </row>
    <row r="62" spans="1:26" s="1" customFormat="1" ht="14.25">
      <c r="A62" s="177" t="s">
        <v>66</v>
      </c>
      <c r="B62" s="89">
        <f>((COS(B56))^2*(B34*(B31-$B$11)-B33*(B32-$B$12)))/($B$11-B31)^2</f>
        <v>-0.8177561709524601</v>
      </c>
      <c r="C62" s="89">
        <f>((COS(C56))^2*(C34*(C31-$B$11)-C33*(C32-$B$12)))/($B$11-C31)^2</f>
        <v>-0.9389242699395525</v>
      </c>
      <c r="D62" s="89">
        <f>((COS(D56))^2*(D34*(D31-$B$11)-D33*(D32-$B$12)))/($B$11-D31)^2</f>
        <v>-0.7262854003776951</v>
      </c>
      <c r="E62" s="89">
        <f>((COS(E56))^2*(E34*(E31-$B$11)-E33*(E32-$B$12)))/($B$11-E31)^2</f>
        <v>-0.372336329647517</v>
      </c>
      <c r="F62" s="89">
        <f aca="true" t="shared" si="37" ref="F62:Z62">(COS(F56))^2*(F34*(F31-$B$11)-F33*(F32-$B$12))/($B$11-F31)^2</f>
        <v>-0.12245272641631573</v>
      </c>
      <c r="G62" s="89">
        <f t="shared" si="37"/>
        <v>0.00601384269200984</v>
      </c>
      <c r="H62" s="89">
        <f t="shared" si="37"/>
        <v>0.0734706773452447</v>
      </c>
      <c r="I62" s="89">
        <f t="shared" si="37"/>
        <v>0.11191986978596956</v>
      </c>
      <c r="J62" s="89">
        <f t="shared" si="37"/>
        <v>0.1339175010847791</v>
      </c>
      <c r="K62" s="89">
        <f t="shared" si="37"/>
        <v>0.14502707193241465</v>
      </c>
      <c r="L62" s="89">
        <f t="shared" si="37"/>
        <v>0.14879254525879673</v>
      </c>
      <c r="M62" s="89">
        <f t="shared" si="37"/>
        <v>0.14834265492332166</v>
      </c>
      <c r="N62" s="89">
        <f t="shared" si="37"/>
        <v>0.14672462703191358</v>
      </c>
      <c r="O62" s="89">
        <f t="shared" si="37"/>
        <v>0.14663804656379692</v>
      </c>
      <c r="P62" s="89">
        <f t="shared" si="37"/>
        <v>0.14974137988913672</v>
      </c>
      <c r="Q62" s="89">
        <f t="shared" si="37"/>
        <v>0.1558507243792542</v>
      </c>
      <c r="R62" s="89">
        <f t="shared" si="37"/>
        <v>0.1626176286156717</v>
      </c>
      <c r="S62" s="89">
        <f t="shared" si="37"/>
        <v>0.1657947182766493</v>
      </c>
      <c r="T62" s="89">
        <f t="shared" si="37"/>
        <v>0.15937151849953238</v>
      </c>
      <c r="U62" s="89">
        <f t="shared" si="37"/>
        <v>0.13489207552766747</v>
      </c>
      <c r="V62" s="89">
        <f t="shared" si="37"/>
        <v>0.07967950937410884</v>
      </c>
      <c r="W62" s="89">
        <f t="shared" si="37"/>
        <v>-0.02597556772332079</v>
      </c>
      <c r="X62" s="89">
        <f t="shared" si="37"/>
        <v>-0.21027770032880375</v>
      </c>
      <c r="Y62" s="89">
        <f t="shared" si="37"/>
        <v>-0.495476747893529</v>
      </c>
      <c r="Z62" s="89">
        <f t="shared" si="37"/>
        <v>-0.8243738398352476</v>
      </c>
    </row>
    <row r="63" spans="1:26" s="1" customFormat="1" ht="14.25">
      <c r="A63" s="177" t="s">
        <v>74</v>
      </c>
      <c r="B63" s="89">
        <f aca="true" t="shared" si="38" ref="B63:Z63">-SIN(2*B56)*B62*(B34*(B31-$B$11)-B33*(B32-$B$12))/($B$11-B31)^2</f>
        <v>-0.6452851486728203</v>
      </c>
      <c r="C63" s="89">
        <f t="shared" si="38"/>
        <v>-0.3808338373840065</v>
      </c>
      <c r="D63" s="89">
        <f t="shared" si="38"/>
        <v>0.013882069352036078</v>
      </c>
      <c r="E63" s="89">
        <f t="shared" si="38"/>
        <v>0.04659014665362262</v>
      </c>
      <c r="F63" s="89">
        <f t="shared" si="38"/>
        <v>0.007414644438849189</v>
      </c>
      <c r="G63" s="89">
        <f t="shared" si="38"/>
        <v>1.9349377172944828E-05</v>
      </c>
      <c r="H63" s="89">
        <f t="shared" si="38"/>
        <v>0.0026748071713635934</v>
      </c>
      <c r="I63" s="89">
        <f t="shared" si="38"/>
        <v>0.0050779535650772945</v>
      </c>
      <c r="J63" s="89">
        <f t="shared" si="38"/>
        <v>0.005093681627352429</v>
      </c>
      <c r="K63" s="89">
        <f t="shared" si="38"/>
        <v>0.003011187212974151</v>
      </c>
      <c r="L63" s="89">
        <f t="shared" si="38"/>
        <v>-0.00023398098995409158</v>
      </c>
      <c r="M63" s="89">
        <f t="shared" si="38"/>
        <v>-0.0038239619328839037</v>
      </c>
      <c r="N63" s="89">
        <f t="shared" si="38"/>
        <v>-0.007426894065438742</v>
      </c>
      <c r="O63" s="89">
        <f t="shared" si="38"/>
        <v>-0.01126432719335949</v>
      </c>
      <c r="P63" s="89">
        <f t="shared" si="38"/>
        <v>-0.015931633959424076</v>
      </c>
      <c r="Q63" s="89">
        <f t="shared" si="38"/>
        <v>-0.021982074872561097</v>
      </c>
      <c r="R63" s="89">
        <f t="shared" si="38"/>
        <v>-0.029258677296378002</v>
      </c>
      <c r="S63" s="89">
        <f t="shared" si="38"/>
        <v>-0.03605417764522093</v>
      </c>
      <c r="T63" s="89">
        <f t="shared" si="38"/>
        <v>-0.03843040444875804</v>
      </c>
      <c r="U63" s="89">
        <f t="shared" si="38"/>
        <v>-0.030839140393326546</v>
      </c>
      <c r="V63" s="89">
        <f t="shared" si="38"/>
        <v>-0.011604899055925133</v>
      </c>
      <c r="W63" s="89">
        <f t="shared" si="38"/>
        <v>-0.0012588381900808646</v>
      </c>
      <c r="X63" s="89">
        <f t="shared" si="38"/>
        <v>-0.07738724926389616</v>
      </c>
      <c r="Y63" s="89">
        <f t="shared" si="38"/>
        <v>-0.35377099688014796</v>
      </c>
      <c r="Z63" s="89">
        <f t="shared" si="38"/>
        <v>-0.6557713111151949</v>
      </c>
    </row>
    <row r="64" spans="1:26" s="1" customFormat="1" ht="14.25">
      <c r="A64" s="177" t="s">
        <v>75</v>
      </c>
      <c r="B64" s="89">
        <f aca="true" t="shared" si="39" ref="B64:Z64">(COS(B56))^2*(B36*(B31-$B$11)-B35*(B32-$B$12))/($B$11-B31)^2</f>
        <v>-0.37709643236373097</v>
      </c>
      <c r="C64" s="89">
        <f t="shared" si="39"/>
        <v>0.14784579132430048</v>
      </c>
      <c r="D64" s="89">
        <f t="shared" si="39"/>
        <v>0.7308039914120631</v>
      </c>
      <c r="E64" s="89">
        <f t="shared" si="39"/>
        <v>0.6686325904687336</v>
      </c>
      <c r="F64" s="89">
        <f t="shared" si="39"/>
        <v>0.374847316527123</v>
      </c>
      <c r="G64" s="89">
        <f t="shared" si="39"/>
        <v>0.22555780674356474</v>
      </c>
      <c r="H64" s="89">
        <f t="shared" si="39"/>
        <v>0.15530508522668687</v>
      </c>
      <c r="I64" s="89">
        <f t="shared" si="39"/>
        <v>0.11113212265016316</v>
      </c>
      <c r="J64" s="89">
        <f t="shared" si="39"/>
        <v>0.07660859596125545</v>
      </c>
      <c r="K64" s="89">
        <f t="shared" si="39"/>
        <v>0.04869764563306803</v>
      </c>
      <c r="L64" s="89">
        <f t="shared" si="39"/>
        <v>0.027991104743373938</v>
      </c>
      <c r="M64" s="89">
        <f t="shared" si="39"/>
        <v>0.014937498882742156</v>
      </c>
      <c r="N64" s="89">
        <f t="shared" si="39"/>
        <v>0.008594464047926352</v>
      </c>
      <c r="O64" s="89">
        <f t="shared" si="39"/>
        <v>0.006454673942854399</v>
      </c>
      <c r="P64" s="89">
        <f t="shared" si="39"/>
        <v>0.004674044178686145</v>
      </c>
      <c r="Q64" s="89">
        <f t="shared" si="39"/>
        <v>-0.0016019314025173595</v>
      </c>
      <c r="R64" s="89">
        <f t="shared" si="39"/>
        <v>-0.01792469972307434</v>
      </c>
      <c r="S64" s="89">
        <f t="shared" si="39"/>
        <v>-0.05027662342959523</v>
      </c>
      <c r="T64" s="89">
        <f t="shared" si="39"/>
        <v>-0.10475138144892339</v>
      </c>
      <c r="U64" s="89">
        <f t="shared" si="39"/>
        <v>-0.18687986245203309</v>
      </c>
      <c r="V64" s="89">
        <f t="shared" si="39"/>
        <v>-0.29985159950901247</v>
      </c>
      <c r="W64" s="89">
        <f t="shared" si="39"/>
        <v>-0.4392816770105363</v>
      </c>
      <c r="X64" s="89">
        <f t="shared" si="39"/>
        <v>-0.5784408886225054</v>
      </c>
      <c r="Y64" s="89">
        <f t="shared" si="39"/>
        <v>-0.6354371497910868</v>
      </c>
      <c r="Z64" s="89">
        <f t="shared" si="39"/>
        <v>-0.4494236121203246</v>
      </c>
    </row>
    <row r="65" spans="1:26" s="1" customFormat="1" ht="14.25">
      <c r="A65" s="177" t="s">
        <v>76</v>
      </c>
      <c r="B65" s="89">
        <f aca="true" t="shared" si="40" ref="B65:Z65">2*B33*(COS(B56))^2*(B34*(B31-$B$11)-B33*(B32-$B$12))/($B$11-B31)^3</f>
        <v>0.028539279453624174</v>
      </c>
      <c r="C65" s="89">
        <f t="shared" si="40"/>
        <v>0.4983018380405787</v>
      </c>
      <c r="D65" s="89">
        <f t="shared" si="40"/>
        <v>0.6390589832101701</v>
      </c>
      <c r="E65" s="178">
        <f t="shared" si="40"/>
        <v>0.357418787142754</v>
      </c>
      <c r="F65" s="89">
        <f t="shared" si="40"/>
        <v>0.1036341268344476</v>
      </c>
      <c r="G65" s="89">
        <f t="shared" si="40"/>
        <v>-0.004263968589085197</v>
      </c>
      <c r="H65" s="89">
        <f t="shared" si="40"/>
        <v>-0.04320462345496479</v>
      </c>
      <c r="I65" s="89">
        <f t="shared" si="40"/>
        <v>-0.05328812615853544</v>
      </c>
      <c r="J65" s="89">
        <f t="shared" si="40"/>
        <v>-0.04925626154697156</v>
      </c>
      <c r="K65" s="89">
        <f t="shared" si="40"/>
        <v>-0.038190539452478446</v>
      </c>
      <c r="L65" s="89">
        <f t="shared" si="40"/>
        <v>-0.024616732999077316</v>
      </c>
      <c r="M65" s="89">
        <f t="shared" si="40"/>
        <v>-0.011300848031797884</v>
      </c>
      <c r="N65" s="89">
        <f t="shared" si="40"/>
        <v>0.0007715876247154865</v>
      </c>
      <c r="O65" s="89">
        <f t="shared" si="40"/>
        <v>0.012257049544222949</v>
      </c>
      <c r="P65" s="89">
        <f t="shared" si="40"/>
        <v>0.02500809309258902</v>
      </c>
      <c r="Q65" s="89">
        <f t="shared" si="40"/>
        <v>0.04126794486231163</v>
      </c>
      <c r="R65" s="89">
        <f t="shared" si="40"/>
        <v>0.06236931395440066</v>
      </c>
      <c r="S65" s="89">
        <f t="shared" si="40"/>
        <v>0.08685967548768746</v>
      </c>
      <c r="T65" s="89">
        <f t="shared" si="40"/>
        <v>0.10807108901203827</v>
      </c>
      <c r="U65" s="89">
        <f t="shared" si="40"/>
        <v>0.11151805172781312</v>
      </c>
      <c r="V65" s="89">
        <f t="shared" si="40"/>
        <v>0.07443409104036078</v>
      </c>
      <c r="W65" s="89">
        <f t="shared" si="40"/>
        <v>-0.024577803228489497</v>
      </c>
      <c r="X65" s="89">
        <f t="shared" si="40"/>
        <v>-0.16809629506850898</v>
      </c>
      <c r="Y65" s="89">
        <f t="shared" si="40"/>
        <v>-0.22669726058033057</v>
      </c>
      <c r="Z65" s="89">
        <f t="shared" si="40"/>
        <v>0.0290030550743002</v>
      </c>
    </row>
    <row r="66" spans="1:26" s="1" customFormat="1" ht="14.25">
      <c r="A66" s="177" t="s">
        <v>70</v>
      </c>
      <c r="B66" s="89">
        <f>SUM(B63:B65)</f>
        <v>-0.9938423015829271</v>
      </c>
      <c r="C66" s="89">
        <f aca="true" t="shared" si="41" ref="C66:Z66">SUM(C63:C65)</f>
        <v>0.2653137919808727</v>
      </c>
      <c r="D66" s="89">
        <f t="shared" si="41"/>
        <v>1.3837450439742693</v>
      </c>
      <c r="E66" s="89">
        <f t="shared" si="41"/>
        <v>1.0726415242651102</v>
      </c>
      <c r="F66" s="89">
        <f t="shared" si="41"/>
        <v>0.4858960878004198</v>
      </c>
      <c r="G66" s="89">
        <f t="shared" si="41"/>
        <v>0.22131318753165247</v>
      </c>
      <c r="H66" s="89">
        <f t="shared" si="41"/>
        <v>0.11477526894308568</v>
      </c>
      <c r="I66" s="89">
        <f t="shared" si="41"/>
        <v>0.06292195005670502</v>
      </c>
      <c r="J66" s="89">
        <f t="shared" si="41"/>
        <v>0.032446016041636314</v>
      </c>
      <c r="K66" s="89">
        <f t="shared" si="41"/>
        <v>0.013518293393563738</v>
      </c>
      <c r="L66" s="89">
        <f t="shared" si="41"/>
        <v>0.0031403907543425293</v>
      </c>
      <c r="M66" s="89">
        <f t="shared" si="41"/>
        <v>-0.00018731108193963293</v>
      </c>
      <c r="N66" s="89">
        <f t="shared" si="41"/>
        <v>0.0019391576072030963</v>
      </c>
      <c r="O66" s="89">
        <f t="shared" si="41"/>
        <v>0.007447396293717858</v>
      </c>
      <c r="P66" s="89">
        <f t="shared" si="41"/>
        <v>0.013750503311851087</v>
      </c>
      <c r="Q66" s="89">
        <f t="shared" si="41"/>
        <v>0.017683938587233175</v>
      </c>
      <c r="R66" s="89">
        <f t="shared" si="41"/>
        <v>0.015185936934948317</v>
      </c>
      <c r="S66" s="89">
        <f t="shared" si="41"/>
        <v>0.0005288744128712913</v>
      </c>
      <c r="T66" s="89">
        <f t="shared" si="41"/>
        <v>-0.03511069688564317</v>
      </c>
      <c r="U66" s="89">
        <f t="shared" si="41"/>
        <v>-0.10620095111754652</v>
      </c>
      <c r="V66" s="89">
        <f t="shared" si="41"/>
        <v>-0.23702240752457684</v>
      </c>
      <c r="W66" s="89">
        <f t="shared" si="41"/>
        <v>-0.46511831842910667</v>
      </c>
      <c r="X66" s="89">
        <f t="shared" si="41"/>
        <v>-0.8239244329549106</v>
      </c>
      <c r="Y66" s="89">
        <f t="shared" si="41"/>
        <v>-1.2159054072515654</v>
      </c>
      <c r="Z66" s="89">
        <f t="shared" si="41"/>
        <v>-1.0761918681612195</v>
      </c>
    </row>
    <row r="67" spans="1:26" s="1" customFormat="1" ht="14.25">
      <c r="A67" s="177" t="s">
        <v>67</v>
      </c>
      <c r="B67" s="89">
        <f aca="true" t="shared" si="42" ref="B67:Z67">(B33*(B31-$B$11)+B34*(B32-$B$12))/B61</f>
        <v>-0.4187565151349461</v>
      </c>
      <c r="C67" s="89">
        <f t="shared" si="42"/>
        <v>0.06647628329559387</v>
      </c>
      <c r="D67" s="89">
        <f t="shared" si="42"/>
        <v>0.513756014078492</v>
      </c>
      <c r="E67" s="89">
        <f t="shared" si="42"/>
        <v>0.7181181809159456</v>
      </c>
      <c r="F67" s="89">
        <f t="shared" si="42"/>
        <v>0.7077283382201062</v>
      </c>
      <c r="G67" s="89">
        <f t="shared" si="42"/>
        <v>0.6422482571056004</v>
      </c>
      <c r="H67" s="89">
        <f t="shared" si="42"/>
        <v>0.5732849695787529</v>
      </c>
      <c r="I67" s="89">
        <f t="shared" si="42"/>
        <v>0.5000895154939884</v>
      </c>
      <c r="J67" s="89">
        <f t="shared" si="42"/>
        <v>0.4188585951058017</v>
      </c>
      <c r="K67" s="89">
        <f t="shared" si="42"/>
        <v>0.3306603266248387</v>
      </c>
      <c r="L67" s="89">
        <f t="shared" si="42"/>
        <v>0.24005688399850722</v>
      </c>
      <c r="M67" s="89">
        <f t="shared" si="42"/>
        <v>0.15199409391265722</v>
      </c>
      <c r="N67" s="89">
        <f t="shared" si="42"/>
        <v>0.06904002727367488</v>
      </c>
      <c r="O67" s="89">
        <f t="shared" si="42"/>
        <v>-0.010361837744612617</v>
      </c>
      <c r="P67" s="89">
        <f t="shared" si="42"/>
        <v>-0.09189459455992115</v>
      </c>
      <c r="Q67" s="89">
        <f t="shared" si="42"/>
        <v>-0.18300128442083524</v>
      </c>
      <c r="R67" s="89">
        <f t="shared" si="42"/>
        <v>-0.2890955142802522</v>
      </c>
      <c r="S67" s="89">
        <f t="shared" si="42"/>
        <v>-0.41078403314840756</v>
      </c>
      <c r="T67" s="89">
        <f t="shared" si="42"/>
        <v>-0.5431476444901907</v>
      </c>
      <c r="U67" s="89">
        <f t="shared" si="42"/>
        <v>-0.6759262585625834</v>
      </c>
      <c r="V67" s="89">
        <f t="shared" si="42"/>
        <v>-0.7931443496582248</v>
      </c>
      <c r="W67" s="89">
        <f t="shared" si="42"/>
        <v>-0.8710018597244226</v>
      </c>
      <c r="X67" s="89">
        <f t="shared" si="42"/>
        <v>-0.872905424662249</v>
      </c>
      <c r="Y67" s="89">
        <f t="shared" si="42"/>
        <v>-0.7434260712762026</v>
      </c>
      <c r="Z67" s="89">
        <f t="shared" si="42"/>
        <v>-0.4221452904913533</v>
      </c>
    </row>
    <row r="68" spans="1:26" s="1" customFormat="1" ht="14.25">
      <c r="A68" s="177" t="s">
        <v>68</v>
      </c>
      <c r="B68" s="89">
        <f aca="true" t="shared" si="43" ref="B68:Z68">((B35*(B31-$B$11)+B36*(B32-$B$12)+B35+B36)/B61)-((((B33*(B31-$B$11)+B34*(B32-$B$12))/B61)*B67))</f>
        <v>-0.1833522467291572</v>
      </c>
      <c r="C68" s="89">
        <f t="shared" si="43"/>
        <v>-0.2352062733065952</v>
      </c>
      <c r="D68" s="89">
        <f t="shared" si="43"/>
        <v>-0.9217940854451107</v>
      </c>
      <c r="E68" s="89">
        <f t="shared" si="43"/>
        <v>-1.2664842032290773</v>
      </c>
      <c r="F68" s="89">
        <f t="shared" si="43"/>
        <v>-1.0106794382111741</v>
      </c>
      <c r="G68" s="89">
        <f t="shared" si="43"/>
        <v>-0.7665328587400565</v>
      </c>
      <c r="H68" s="89">
        <f t="shared" si="43"/>
        <v>-0.617704832173631</v>
      </c>
      <c r="I68" s="89">
        <f t="shared" si="43"/>
        <v>-0.5086395395899201</v>
      </c>
      <c r="J68" s="89">
        <f t="shared" si="43"/>
        <v>-0.4099840969487303</v>
      </c>
      <c r="K68" s="89">
        <f t="shared" si="43"/>
        <v>-0.31675864455125685</v>
      </c>
      <c r="L68" s="89">
        <f t="shared" si="43"/>
        <v>-0.2355061725747084</v>
      </c>
      <c r="M68" s="89">
        <f t="shared" si="43"/>
        <v>-0.17422215321703935</v>
      </c>
      <c r="N68" s="89">
        <f t="shared" si="43"/>
        <v>-0.1375051598004455</v>
      </c>
      <c r="O68" s="89">
        <f t="shared" si="43"/>
        <v>-0.1262286567285148</v>
      </c>
      <c r="P68" s="89">
        <f t="shared" si="43"/>
        <v>-0.13967230216741897</v>
      </c>
      <c r="Q68" s="89">
        <f t="shared" si="43"/>
        <v>-0.17789072713274942</v>
      </c>
      <c r="R68" s="89">
        <f t="shared" si="43"/>
        <v>-0.24253955567298896</v>
      </c>
      <c r="S68" s="89">
        <f t="shared" si="43"/>
        <v>-0.3352344147741646</v>
      </c>
      <c r="T68" s="89">
        <f t="shared" si="43"/>
        <v>-0.45361904992702085</v>
      </c>
      <c r="U68" s="89">
        <f t="shared" si="43"/>
        <v>-0.5859957762454567</v>
      </c>
      <c r="V68" s="89">
        <f t="shared" si="43"/>
        <v>-0.7054790685307432</v>
      </c>
      <c r="W68" s="89">
        <f t="shared" si="43"/>
        <v>-0.765134827522285</v>
      </c>
      <c r="X68" s="89">
        <f t="shared" si="43"/>
        <v>-0.6997649309528701</v>
      </c>
      <c r="Y68" s="89">
        <f t="shared" si="43"/>
        <v>-0.46000306311783723</v>
      </c>
      <c r="Z68" s="89">
        <f t="shared" si="43"/>
        <v>-0.14861574597544128</v>
      </c>
    </row>
    <row r="69" spans="1:26" s="1" customFormat="1" ht="14.25">
      <c r="A69" s="177" t="s">
        <v>46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s="1" customFormat="1" ht="15" thickBot="1">
      <c r="A70" s="177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s="1" customFormat="1" ht="15.75" thickBot="1">
      <c r="A71" s="238" t="s">
        <v>55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s="163" customFormat="1" ht="15">
      <c r="A72" s="50" t="s">
        <v>56</v>
      </c>
      <c r="B72" s="179">
        <f>B31+($F$6-$F$5)*COS(B59)-($G$6-$G$5)*SIN(B59)</f>
        <v>2.8011515667169236</v>
      </c>
      <c r="C72" s="179">
        <f aca="true" t="shared" si="44" ref="C72:Z72">C31+($F$6-$F$5)*COS(C59)-($G$6-$G$5)*SIN(C59)</f>
        <v>2.9161791703956923</v>
      </c>
      <c r="D72" s="179">
        <f t="shared" si="44"/>
        <v>2.856994174509632</v>
      </c>
      <c r="E72" s="179">
        <f t="shared" si="44"/>
        <v>2.667007632397353</v>
      </c>
      <c r="F72" s="179">
        <f t="shared" si="44"/>
        <v>2.426347718744728</v>
      </c>
      <c r="G72" s="179">
        <f t="shared" si="44"/>
        <v>2.173987648380659</v>
      </c>
      <c r="H72" s="179">
        <f t="shared" si="44"/>
        <v>1.9238506305379257</v>
      </c>
      <c r="I72" s="179">
        <f t="shared" si="44"/>
        <v>1.6845013062858647</v>
      </c>
      <c r="J72" s="179">
        <f t="shared" si="44"/>
        <v>1.4650943346450593</v>
      </c>
      <c r="K72" s="179">
        <f t="shared" si="44"/>
        <v>1.2755556893745619</v>
      </c>
      <c r="L72" s="179">
        <f t="shared" si="44"/>
        <v>1.1253523695202492</v>
      </c>
      <c r="M72" s="179">
        <f t="shared" si="44"/>
        <v>1.0221975148901836</v>
      </c>
      <c r="N72" s="179">
        <f t="shared" si="44"/>
        <v>0.9710464277004167</v>
      </c>
      <c r="O72" s="179">
        <f t="shared" si="44"/>
        <v>0.9734717307363727</v>
      </c>
      <c r="P72" s="179">
        <f t="shared" si="44"/>
        <v>1.0274376637938663</v>
      </c>
      <c r="Q72" s="179">
        <f t="shared" si="44"/>
        <v>1.1274742568673288</v>
      </c>
      <c r="R72" s="179">
        <f t="shared" si="44"/>
        <v>1.2652452868286628</v>
      </c>
      <c r="S72" s="179">
        <f t="shared" si="44"/>
        <v>1.4305042337923137</v>
      </c>
      <c r="T72" s="179">
        <f t="shared" si="44"/>
        <v>1.6124426923245117</v>
      </c>
      <c r="U72" s="179">
        <f t="shared" si="44"/>
        <v>1.801455868383359</v>
      </c>
      <c r="V72" s="179">
        <f t="shared" si="44"/>
        <v>1.9913492490060647</v>
      </c>
      <c r="W72" s="179">
        <f t="shared" si="44"/>
        <v>2.181806008096153</v>
      </c>
      <c r="X72" s="179">
        <f t="shared" si="44"/>
        <v>2.3797055808217755</v>
      </c>
      <c r="Y72" s="179">
        <f t="shared" si="44"/>
        <v>2.592964673167861</v>
      </c>
      <c r="Z72" s="179">
        <f t="shared" si="44"/>
        <v>2.8011515667169236</v>
      </c>
    </row>
    <row r="73" spans="1:26" s="163" customFormat="1" ht="15">
      <c r="A73" s="51" t="s">
        <v>57</v>
      </c>
      <c r="B73" s="179">
        <f aca="true" t="shared" si="45" ref="B73:Z73">B32+($F$6-$F$5)*SIN(B59)+($G$6-$G$5)*COS(B59)</f>
        <v>0.8865348894623628</v>
      </c>
      <c r="C73" s="179">
        <f t="shared" si="45"/>
        <v>0.6978904411357488</v>
      </c>
      <c r="D73" s="179">
        <f t="shared" si="45"/>
        <v>0.48872315904009966</v>
      </c>
      <c r="E73" s="179">
        <f t="shared" si="45"/>
        <v>0.3879210487098036</v>
      </c>
      <c r="F73" s="179">
        <f t="shared" si="45"/>
        <v>0.39458865389465714</v>
      </c>
      <c r="G73" s="179">
        <f t="shared" si="45"/>
        <v>0.4534573309038823</v>
      </c>
      <c r="H73" s="179">
        <f t="shared" si="45"/>
        <v>0.5188669069425276</v>
      </c>
      <c r="I73" s="179">
        <f t="shared" si="45"/>
        <v>0.5639501993394986</v>
      </c>
      <c r="J73" s="179">
        <f t="shared" si="45"/>
        <v>0.5759633878035523</v>
      </c>
      <c r="K73" s="179">
        <f t="shared" si="45"/>
        <v>0.5518578623300691</v>
      </c>
      <c r="L73" s="179">
        <f t="shared" si="45"/>
        <v>0.49537809136122213</v>
      </c>
      <c r="M73" s="179">
        <f t="shared" si="45"/>
        <v>0.4150423274010304</v>
      </c>
      <c r="N73" s="179">
        <f t="shared" si="45"/>
        <v>0.32251282191481356</v>
      </c>
      <c r="O73" s="179">
        <f t="shared" si="45"/>
        <v>0.23112350268295057</v>
      </c>
      <c r="P73" s="179">
        <f t="shared" si="45"/>
        <v>0.15448722543124793</v>
      </c>
      <c r="Q73" s="179">
        <f t="shared" si="45"/>
        <v>0.10517987100513126</v>
      </c>
      <c r="R73" s="179">
        <f t="shared" si="45"/>
        <v>0.09352688414867583</v>
      </c>
      <c r="S73" s="179">
        <f t="shared" si="45"/>
        <v>0.1265136654265705</v>
      </c>
      <c r="T73" s="179">
        <f t="shared" si="45"/>
        <v>0.20680303638334363</v>
      </c>
      <c r="U73" s="179">
        <f t="shared" si="45"/>
        <v>0.3317494667009597</v>
      </c>
      <c r="V73" s="179">
        <f t="shared" si="45"/>
        <v>0.4920937256524104</v>
      </c>
      <c r="W73" s="179">
        <f t="shared" si="45"/>
        <v>0.6695969543125023</v>
      </c>
      <c r="X73" s="179">
        <f t="shared" si="45"/>
        <v>0.8322767523358661</v>
      </c>
      <c r="Y73" s="179">
        <f t="shared" si="45"/>
        <v>0.9272425448418158</v>
      </c>
      <c r="Z73" s="179">
        <f t="shared" si="45"/>
        <v>0.8865348894623626</v>
      </c>
    </row>
    <row r="74" spans="1:26" s="163" customFormat="1" ht="15">
      <c r="A74" s="51" t="s">
        <v>58</v>
      </c>
      <c r="B74" s="179">
        <f aca="true" t="shared" si="46" ref="B74:Z74">B33-B62*(B73-B32)</f>
        <v>0.6932451571231617</v>
      </c>
      <c r="C74" s="179">
        <f t="shared" si="46"/>
        <v>0.12082631404563132</v>
      </c>
      <c r="D74" s="179">
        <f t="shared" si="46"/>
        <v>-0.5219017467187582</v>
      </c>
      <c r="E74" s="179">
        <f t="shared" si="46"/>
        <v>-0.7499209974111745</v>
      </c>
      <c r="F74" s="179">
        <f t="shared" si="46"/>
        <v>-0.6999486727464587</v>
      </c>
      <c r="G74" s="179">
        <f t="shared" si="46"/>
        <v>-0.6201530308780954</v>
      </c>
      <c r="H74" s="179">
        <f t="shared" si="46"/>
        <v>-0.5578460906802138</v>
      </c>
      <c r="I74" s="179">
        <f t="shared" si="46"/>
        <v>-0.49727969489889146</v>
      </c>
      <c r="J74" s="179">
        <f t="shared" si="46"/>
        <v>-0.4248705666634461</v>
      </c>
      <c r="K74" s="179">
        <f t="shared" si="46"/>
        <v>-0.3373371910358985</v>
      </c>
      <c r="L74" s="179">
        <f t="shared" si="46"/>
        <v>-0.23936582685315158</v>
      </c>
      <c r="M74" s="179">
        <f t="shared" si="46"/>
        <v>-0.13882075569963606</v>
      </c>
      <c r="N74" s="179">
        <f t="shared" si="46"/>
        <v>-0.04199355199028399</v>
      </c>
      <c r="O74" s="179">
        <f t="shared" si="46"/>
        <v>0.04945122125662885</v>
      </c>
      <c r="P74" s="179">
        <f t="shared" si="46"/>
        <v>0.1383300641922354</v>
      </c>
      <c r="Q74" s="179">
        <f t="shared" si="46"/>
        <v>0.22825930869627536</v>
      </c>
      <c r="R74" s="179">
        <f t="shared" si="46"/>
        <v>0.31906620588552864</v>
      </c>
      <c r="S74" s="179">
        <f t="shared" si="46"/>
        <v>0.4054250369079895</v>
      </c>
      <c r="T74" s="179">
        <f t="shared" si="46"/>
        <v>0.47988485369323064</v>
      </c>
      <c r="U74" s="179">
        <f t="shared" si="46"/>
        <v>0.5383660628675976</v>
      </c>
      <c r="V74" s="180">
        <f t="shared" si="46"/>
        <v>0.5860939010967682</v>
      </c>
      <c r="W74" s="180">
        <f t="shared" si="46"/>
        <v>0.6413107705428673</v>
      </c>
      <c r="X74" s="180">
        <f t="shared" si="46"/>
        <v>0.7267692032138444</v>
      </c>
      <c r="Y74" s="179">
        <f t="shared" si="46"/>
        <v>0.814855946764834</v>
      </c>
      <c r="Z74" s="179">
        <f t="shared" si="46"/>
        <v>0.6988552241179408</v>
      </c>
    </row>
    <row r="75" spans="1:26" s="163" customFormat="1" ht="15">
      <c r="A75" s="51" t="s">
        <v>59</v>
      </c>
      <c r="B75" s="179">
        <f aca="true" t="shared" si="47" ref="B75:Z75">B34+B62*(B72-B31)</f>
        <v>-0.4731796615727917</v>
      </c>
      <c r="C75" s="179">
        <f t="shared" si="47"/>
        <v>-0.8742577665586442</v>
      </c>
      <c r="D75" s="179">
        <f t="shared" si="47"/>
        <v>-0.6156626340110011</v>
      </c>
      <c r="E75" s="179">
        <f t="shared" si="47"/>
        <v>-0.1293522581731399</v>
      </c>
      <c r="F75" s="179">
        <f t="shared" si="47"/>
        <v>0.11765834924180466</v>
      </c>
      <c r="G75" s="179">
        <f t="shared" si="47"/>
        <v>0.16701561366421186</v>
      </c>
      <c r="H75" s="179">
        <f t="shared" si="47"/>
        <v>0.1322747825157828</v>
      </c>
      <c r="I75" s="179">
        <f t="shared" si="47"/>
        <v>0.06403508419901821</v>
      </c>
      <c r="J75" s="179">
        <f t="shared" si="47"/>
        <v>-0.012740892072952092</v>
      </c>
      <c r="K75" s="179">
        <f t="shared" si="47"/>
        <v>-0.08145480581805176</v>
      </c>
      <c r="L75" s="179">
        <f t="shared" si="47"/>
        <v>-0.13140956426589145</v>
      </c>
      <c r="M75" s="179">
        <f t="shared" si="47"/>
        <v>-0.1582064582165199</v>
      </c>
      <c r="N75" s="179">
        <f t="shared" si="47"/>
        <v>-0.1627084334475763</v>
      </c>
      <c r="O75" s="179">
        <f t="shared" si="47"/>
        <v>-0.147902613251785</v>
      </c>
      <c r="P75" s="179">
        <f t="shared" si="47"/>
        <v>-0.11486994824047231</v>
      </c>
      <c r="Q75" s="179">
        <f t="shared" si="47"/>
        <v>-0.06053968966369544</v>
      </c>
      <c r="R75" s="179">
        <f t="shared" si="47"/>
        <v>0.020459349283438066</v>
      </c>
      <c r="S75" s="179">
        <f t="shared" si="47"/>
        <v>0.13085650264116805</v>
      </c>
      <c r="T75" s="179">
        <f t="shared" si="47"/>
        <v>0.26592915464925315</v>
      </c>
      <c r="U75" s="179">
        <f t="shared" si="47"/>
        <v>0.41020806872360466</v>
      </c>
      <c r="V75" s="179">
        <f t="shared" si="47"/>
        <v>0.5343900920386592</v>
      </c>
      <c r="W75" s="179">
        <f t="shared" si="47"/>
        <v>0.5894119482316529</v>
      </c>
      <c r="X75" s="179">
        <f t="shared" si="47"/>
        <v>0.495002303350649</v>
      </c>
      <c r="Y75" s="179">
        <f t="shared" si="47"/>
        <v>0.14079345543966493</v>
      </c>
      <c r="Z75" s="179">
        <f t="shared" si="47"/>
        <v>-0.47700885471567034</v>
      </c>
    </row>
    <row r="76" spans="1:26" s="163" customFormat="1" ht="15">
      <c r="A76" s="51" t="s">
        <v>60</v>
      </c>
      <c r="B76" s="179">
        <f aca="true" t="shared" si="48" ref="B76:Z76">B35-B66*(B73-B32)-B62^2*(B72-B31)</f>
        <v>-1.3406939709084216</v>
      </c>
      <c r="C76" s="181">
        <f t="shared" si="48"/>
        <v>-2.771666329489623</v>
      </c>
      <c r="D76" s="179">
        <f t="shared" si="48"/>
        <v>-1.633223525999841</v>
      </c>
      <c r="E76" s="179">
        <f t="shared" si="48"/>
        <v>-0.1149185751578285</v>
      </c>
      <c r="F76" s="179">
        <f t="shared" si="48"/>
        <v>0.16582123411409017</v>
      </c>
      <c r="G76" s="179">
        <f t="shared" si="48"/>
        <v>0.13130878601179882</v>
      </c>
      <c r="H76" s="179">
        <f t="shared" si="48"/>
        <v>0.11815264244851027</v>
      </c>
      <c r="I76" s="179">
        <f t="shared" si="48"/>
        <v>0.13761199332324714</v>
      </c>
      <c r="J76" s="179">
        <f t="shared" si="48"/>
        <v>0.16628190241295313</v>
      </c>
      <c r="K76" s="179">
        <f t="shared" si="48"/>
        <v>0.18518739656342953</v>
      </c>
      <c r="L76" s="179">
        <f t="shared" si="48"/>
        <v>0.1868293999369173</v>
      </c>
      <c r="M76" s="179">
        <f t="shared" si="48"/>
        <v>0.17519597056858444</v>
      </c>
      <c r="N76" s="179">
        <f t="shared" si="48"/>
        <v>0.16105519918739292</v>
      </c>
      <c r="O76" s="179">
        <f t="shared" si="48"/>
        <v>0.15514716635978026</v>
      </c>
      <c r="P76" s="179">
        <f t="shared" si="48"/>
        <v>0.16229253197068896</v>
      </c>
      <c r="Q76" s="179">
        <f t="shared" si="48"/>
        <v>0.1786053801802578</v>
      </c>
      <c r="R76" s="179">
        <f t="shared" si="48"/>
        <v>0.1929203581623377</v>
      </c>
      <c r="S76" s="179">
        <f t="shared" si="48"/>
        <v>0.19246497512619554</v>
      </c>
      <c r="T76" s="179">
        <f t="shared" si="48"/>
        <v>0.17168102913271938</v>
      </c>
      <c r="U76" s="179">
        <f t="shared" si="48"/>
        <v>0.1422462693146398</v>
      </c>
      <c r="V76" s="179">
        <f t="shared" si="48"/>
        <v>0.14013491537959377</v>
      </c>
      <c r="W76" s="179">
        <f t="shared" si="48"/>
        <v>0.21508273357634675</v>
      </c>
      <c r="X76" s="179">
        <f t="shared" si="48"/>
        <v>0.34456799255223924</v>
      </c>
      <c r="Y76" s="179">
        <f t="shared" si="48"/>
        <v>0.1342167418131801</v>
      </c>
      <c r="Z76" s="179">
        <f t="shared" si="48"/>
        <v>-1.3063610737141922</v>
      </c>
    </row>
    <row r="77" spans="1:26" s="163" customFormat="1" ht="15">
      <c r="A77" s="51" t="s">
        <v>61</v>
      </c>
      <c r="B77" s="179">
        <f aca="true" t="shared" si="49" ref="B77:Z77">B36+B66*(B72-B31)-B62^2*(B73-B32)</f>
        <v>-2.3888417102816724</v>
      </c>
      <c r="C77" s="179">
        <f t="shared" si="49"/>
        <v>-0.2165404908273858</v>
      </c>
      <c r="D77" s="179">
        <f t="shared" si="49"/>
        <v>1.9538892917287116</v>
      </c>
      <c r="E77" s="181">
        <f t="shared" si="49"/>
        <v>1.2972310122938533</v>
      </c>
      <c r="F77" s="179">
        <f t="shared" si="49"/>
        <v>0.3573717035046104</v>
      </c>
      <c r="G77" s="179">
        <f t="shared" si="49"/>
        <v>-0.001861004347482262</v>
      </c>
      <c r="H77" s="179">
        <f t="shared" si="49"/>
        <v>-0.12533661256247045</v>
      </c>
      <c r="I77" s="179">
        <f t="shared" si="49"/>
        <v>-0.16277707510330133</v>
      </c>
      <c r="J77" s="179">
        <f t="shared" si="49"/>
        <v>-0.1546303135919514</v>
      </c>
      <c r="K77" s="179">
        <f t="shared" si="49"/>
        <v>-0.11925450260046351</v>
      </c>
      <c r="L77" s="179">
        <f t="shared" si="49"/>
        <v>-0.07319789464222196</v>
      </c>
      <c r="M77" s="179">
        <f t="shared" si="49"/>
        <v>-0.029857637577337406</v>
      </c>
      <c r="N77" s="179">
        <f t="shared" si="49"/>
        <v>0.005167268731706214</v>
      </c>
      <c r="O77" s="179">
        <f t="shared" si="49"/>
        <v>0.03560932512086769</v>
      </c>
      <c r="P77" s="179">
        <f t="shared" si="49"/>
        <v>0.07180099533119824</v>
      </c>
      <c r="Q77" s="179">
        <f t="shared" si="49"/>
        <v>0.12484023207331446</v>
      </c>
      <c r="R77" s="179">
        <f t="shared" si="49"/>
        <v>0.19960530028857157</v>
      </c>
      <c r="S77" s="179">
        <f t="shared" si="49"/>
        <v>0.28868259422435116</v>
      </c>
      <c r="T77" s="179">
        <f t="shared" si="49"/>
        <v>0.3683617830948178</v>
      </c>
      <c r="U77" s="179">
        <f t="shared" si="49"/>
        <v>0.39579488120960793</v>
      </c>
      <c r="V77" s="179">
        <f t="shared" si="49"/>
        <v>0.3030685709539096</v>
      </c>
      <c r="W77" s="179">
        <f t="shared" si="49"/>
        <v>-0.01938877818276829</v>
      </c>
      <c r="X77" s="179">
        <f t="shared" si="49"/>
        <v>-0.7387143336164494</v>
      </c>
      <c r="Y77" s="179">
        <f t="shared" si="49"/>
        <v>-1.9065943448515714</v>
      </c>
      <c r="Z77" s="179">
        <f t="shared" si="49"/>
        <v>-2.4659663771038045</v>
      </c>
    </row>
    <row r="78" spans="1:26" s="3" customFormat="1" ht="15.75" thickBot="1">
      <c r="A78" s="239" t="s">
        <v>62</v>
      </c>
      <c r="B78" s="92">
        <f>((B72-B31)^2+(B73-B32)^2)-$D$6^2</f>
        <v>0</v>
      </c>
      <c r="C78" s="92">
        <f aca="true" t="shared" si="50" ref="C78:Z78">((C72-C31)^2+(C73-C32)^2)-$D$6^2</f>
        <v>0</v>
      </c>
      <c r="D78" s="92">
        <f t="shared" si="50"/>
        <v>0</v>
      </c>
      <c r="E78" s="92">
        <f t="shared" si="50"/>
        <v>0</v>
      </c>
      <c r="F78" s="92">
        <f t="shared" si="50"/>
        <v>0</v>
      </c>
      <c r="G78" s="92">
        <f t="shared" si="50"/>
        <v>0</v>
      </c>
      <c r="H78" s="92">
        <f t="shared" si="50"/>
        <v>0</v>
      </c>
      <c r="I78" s="92">
        <f t="shared" si="50"/>
        <v>0</v>
      </c>
      <c r="J78" s="92">
        <f t="shared" si="50"/>
        <v>0</v>
      </c>
      <c r="K78" s="92">
        <f t="shared" si="50"/>
        <v>0</v>
      </c>
      <c r="L78" s="92">
        <f t="shared" si="50"/>
        <v>0</v>
      </c>
      <c r="M78" s="92">
        <f t="shared" si="50"/>
        <v>0</v>
      </c>
      <c r="N78" s="92">
        <f t="shared" si="50"/>
        <v>0</v>
      </c>
      <c r="O78" s="92">
        <f t="shared" si="50"/>
        <v>0</v>
      </c>
      <c r="P78" s="92">
        <f t="shared" si="50"/>
        <v>0</v>
      </c>
      <c r="Q78" s="92">
        <f t="shared" si="50"/>
        <v>0</v>
      </c>
      <c r="R78" s="92">
        <f t="shared" si="50"/>
        <v>0</v>
      </c>
      <c r="S78" s="92">
        <f t="shared" si="50"/>
        <v>0</v>
      </c>
      <c r="T78" s="92">
        <f t="shared" si="50"/>
        <v>0</v>
      </c>
      <c r="U78" s="92">
        <f t="shared" si="50"/>
        <v>0</v>
      </c>
      <c r="V78" s="92">
        <f t="shared" si="50"/>
        <v>0</v>
      </c>
      <c r="W78" s="92">
        <f t="shared" si="50"/>
        <v>0</v>
      </c>
      <c r="X78" s="92">
        <f t="shared" si="50"/>
        <v>0</v>
      </c>
      <c r="Y78" s="92">
        <f t="shared" si="50"/>
        <v>0</v>
      </c>
      <c r="Z78" s="92">
        <f t="shared" si="50"/>
        <v>0</v>
      </c>
    </row>
    <row r="79" spans="1:26" s="1" customFormat="1" ht="15">
      <c r="A79" s="182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s="1" customFormat="1" ht="14.25">
      <c r="A80" s="56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s="1" customFormat="1" ht="15" thickBot="1">
      <c r="A81" s="2" t="s">
        <v>123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s="4" customFormat="1" ht="15">
      <c r="A82" s="52" t="s">
        <v>131</v>
      </c>
      <c r="B82" s="90">
        <f>B72+($I$6-$F$6)*COS(B59)-($J$6-$G$6)*SIN(B59)</f>
        <v>2.1</v>
      </c>
      <c r="C82" s="90">
        <f aca="true" t="shared" si="51" ref="C82:Z82">C72+($I$6-$F$6)*COS(C59)-($J$6-$G$6)*SIN(C59)</f>
        <v>3.082293850632423</v>
      </c>
      <c r="D82" s="90">
        <f t="shared" si="51"/>
        <v>3.8424484306852285</v>
      </c>
      <c r="E82" s="90">
        <f t="shared" si="51"/>
        <v>4.182520898244329</v>
      </c>
      <c r="F82" s="90">
        <f t="shared" si="51"/>
        <v>4.191866676625299</v>
      </c>
      <c r="G82" s="90">
        <f t="shared" si="51"/>
        <v>4.000562224379344</v>
      </c>
      <c r="H82" s="90">
        <f t="shared" si="51"/>
        <v>3.6909493879019295</v>
      </c>
      <c r="I82" s="90">
        <f t="shared" si="51"/>
        <v>3.3115446907229087</v>
      </c>
      <c r="J82" s="90">
        <f t="shared" si="51"/>
        <v>2.8948994820660006</v>
      </c>
      <c r="K82" s="90">
        <f t="shared" si="51"/>
        <v>2.465990444009299</v>
      </c>
      <c r="L82" s="90">
        <f t="shared" si="51"/>
        <v>2.045237956963842</v>
      </c>
      <c r="M82" s="90">
        <f t="shared" si="51"/>
        <v>1.6492991885125468</v>
      </c>
      <c r="N82" s="90">
        <f t="shared" si="51"/>
        <v>1.2910973585479222</v>
      </c>
      <c r="O82" s="90">
        <f t="shared" si="51"/>
        <v>0.9797248932159686</v>
      </c>
      <c r="P82" s="90">
        <f t="shared" si="51"/>
        <v>0.7205110535620753</v>
      </c>
      <c r="Q82" s="90">
        <f t="shared" si="51"/>
        <v>0.5154016764246027</v>
      </c>
      <c r="R82" s="90">
        <f t="shared" si="51"/>
        <v>0.36374767261792207</v>
      </c>
      <c r="S82" s="90">
        <f t="shared" si="51"/>
        <v>0.2636059801683583</v>
      </c>
      <c r="T82" s="90">
        <f t="shared" si="51"/>
        <v>0.21372858829635366</v>
      </c>
      <c r="U82" s="90">
        <f t="shared" si="51"/>
        <v>0.21659076115008014</v>
      </c>
      <c r="V82" s="90">
        <f t="shared" si="51"/>
        <v>0.28314676847346787</v>
      </c>
      <c r="W82" s="90">
        <f t="shared" si="51"/>
        <v>0.4404218446518453</v>
      </c>
      <c r="X82" s="90">
        <f t="shared" si="51"/>
        <v>0.7422658610014783</v>
      </c>
      <c r="Y82" s="90">
        <f t="shared" si="51"/>
        <v>1.2739513674066694</v>
      </c>
      <c r="Z82" s="90">
        <f t="shared" si="51"/>
        <v>2.1</v>
      </c>
    </row>
    <row r="83" spans="1:26" s="4" customFormat="1" ht="15">
      <c r="A83" s="53" t="s">
        <v>132</v>
      </c>
      <c r="B83" s="90">
        <f>B73+($I$6-$F$6)*SIN(B59)+($J$6-$G$6)*COS(B59)</f>
        <v>4.5</v>
      </c>
      <c r="C83" s="90">
        <f aca="true" t="shared" si="52" ref="C83:Z83">C73+($I$6-$F$6)*SIN(C59)+($J$6-$G$6)*COS(C59)</f>
        <v>4.375002016488368</v>
      </c>
      <c r="D83" s="90">
        <f t="shared" si="52"/>
        <v>4.035217700635755</v>
      </c>
      <c r="E83" s="90">
        <f t="shared" si="52"/>
        <v>3.742315653645873</v>
      </c>
      <c r="F83" s="90">
        <f t="shared" si="52"/>
        <v>3.6244007899091777</v>
      </c>
      <c r="G83" s="90">
        <f t="shared" si="52"/>
        <v>3.6491370618684233</v>
      </c>
      <c r="H83" s="90">
        <f t="shared" si="52"/>
        <v>3.747814971917399</v>
      </c>
      <c r="I83" s="90">
        <f t="shared" si="52"/>
        <v>3.8656881431718113</v>
      </c>
      <c r="J83" s="90">
        <f t="shared" si="52"/>
        <v>3.9677771894428693</v>
      </c>
      <c r="K83" s="90">
        <f t="shared" si="52"/>
        <v>4.034903759176694</v>
      </c>
      <c r="L83" s="90">
        <f t="shared" si="52"/>
        <v>4.059442362750829</v>
      </c>
      <c r="M83" s="90">
        <f t="shared" si="52"/>
        <v>4.042091695072004</v>
      </c>
      <c r="N83" s="90">
        <f t="shared" si="52"/>
        <v>3.9894340136294684</v>
      </c>
      <c r="O83" s="90">
        <f t="shared" si="52"/>
        <v>3.9119799957483052</v>
      </c>
      <c r="P83" s="90">
        <f t="shared" si="52"/>
        <v>3.822530256873763</v>
      </c>
      <c r="Q83" s="90">
        <f t="shared" si="52"/>
        <v>3.7347956607069226</v>
      </c>
      <c r="R83" s="90">
        <f t="shared" si="52"/>
        <v>3.66228656730958</v>
      </c>
      <c r="S83" s="90">
        <f t="shared" si="52"/>
        <v>3.6175152538352235</v>
      </c>
      <c r="T83" s="90">
        <f t="shared" si="52"/>
        <v>3.611555961306837</v>
      </c>
      <c r="U83" s="90">
        <f t="shared" si="52"/>
        <v>3.6539394396640987</v>
      </c>
      <c r="V83" s="90">
        <f t="shared" si="52"/>
        <v>3.752582632255937</v>
      </c>
      <c r="W83" s="90">
        <f t="shared" si="52"/>
        <v>3.9124852995824635</v>
      </c>
      <c r="X83" s="90">
        <f t="shared" si="52"/>
        <v>4.128871175151206</v>
      </c>
      <c r="Y83" s="90">
        <f t="shared" si="52"/>
        <v>4.363657467956792</v>
      </c>
      <c r="Z83" s="90">
        <f t="shared" si="52"/>
        <v>4.5</v>
      </c>
    </row>
    <row r="84" spans="1:26" s="4" customFormat="1" ht="15">
      <c r="A84" s="53" t="s">
        <v>133</v>
      </c>
      <c r="B84" s="90">
        <f>B74-B62*(B83-B73)</f>
        <v>3.6481785497867283</v>
      </c>
      <c r="C84" s="90">
        <f aca="true" t="shared" si="53" ref="C84:Z84">C74-C62*(C83-C73)</f>
        <v>3.5733556154198673</v>
      </c>
      <c r="D84" s="90">
        <f t="shared" si="53"/>
        <v>2.0538654613613527</v>
      </c>
      <c r="E84" s="90">
        <f t="shared" si="53"/>
        <v>0.4990419779801545</v>
      </c>
      <c r="F84" s="90">
        <f t="shared" si="53"/>
        <v>-0.3044493708789763</v>
      </c>
      <c r="G84" s="90">
        <f t="shared" si="53"/>
        <v>-0.6393713460741605</v>
      </c>
      <c r="H84" s="90">
        <f t="shared" si="53"/>
        <v>-0.7950790921265349</v>
      </c>
      <c r="I84" s="90">
        <f t="shared" si="53"/>
        <v>-0.8668097756399988</v>
      </c>
      <c r="J84" s="90">
        <f t="shared" si="53"/>
        <v>-0.879093795123848</v>
      </c>
      <c r="K84" s="90">
        <f t="shared" si="53"/>
        <v>-0.8424731388617757</v>
      </c>
      <c r="L84" s="90">
        <f t="shared" si="53"/>
        <v>-0.76967202125915</v>
      </c>
      <c r="M84" s="90">
        <f t="shared" si="53"/>
        <v>-0.6768668884379032</v>
      </c>
      <c r="N84" s="90">
        <f t="shared" si="53"/>
        <v>-0.5800211962000368</v>
      </c>
      <c r="O84" s="90">
        <f t="shared" si="53"/>
        <v>-0.4903023845681429</v>
      </c>
      <c r="P84" s="90">
        <f t="shared" si="53"/>
        <v>-0.410927760828699</v>
      </c>
      <c r="Q84" s="90">
        <f t="shared" si="53"/>
        <v>-0.33741894134712763</v>
      </c>
      <c r="R84" s="90">
        <f t="shared" si="53"/>
        <v>-0.2612770308893135</v>
      </c>
      <c r="S84" s="90">
        <f t="shared" si="53"/>
        <v>-0.1733645879455583</v>
      </c>
      <c r="T84" s="90">
        <f t="shared" si="53"/>
        <v>-0.06273579006755081</v>
      </c>
      <c r="U84" s="90">
        <f t="shared" si="53"/>
        <v>0.09022896211739428</v>
      </c>
      <c r="V84" s="90">
        <f t="shared" si="53"/>
        <v>0.3262997446988746</v>
      </c>
      <c r="W84" s="90">
        <f t="shared" si="53"/>
        <v>0.7255466363745949</v>
      </c>
      <c r="X84" s="90">
        <f t="shared" si="53"/>
        <v>1.4199694973602142</v>
      </c>
      <c r="Y84" s="90">
        <f t="shared" si="53"/>
        <v>2.517519637282634</v>
      </c>
      <c r="Z84" s="90">
        <f t="shared" si="53"/>
        <v>3.6777013324025503</v>
      </c>
    </row>
    <row r="85" spans="1:26" s="4" customFormat="1" ht="15">
      <c r="A85" s="53" t="s">
        <v>134</v>
      </c>
      <c r="B85" s="90">
        <f>B75+B62*(B82-B72)</f>
        <v>0.10019135888295805</v>
      </c>
      <c r="C85" s="90">
        <f aca="true" t="shared" si="54" ref="C85:Z85">C75+C62*(C82-C72)</f>
        <v>-1.0302268714261589</v>
      </c>
      <c r="D85" s="90">
        <f t="shared" si="54"/>
        <v>-1.331383673011398</v>
      </c>
      <c r="E85" s="90">
        <f t="shared" si="54"/>
        <v>-0.6936329051107246</v>
      </c>
      <c r="F85" s="90">
        <f t="shared" si="54"/>
        <v>-0.09853426069036375</v>
      </c>
      <c r="G85" s="90">
        <f t="shared" si="54"/>
        <v>0.17800034582949253</v>
      </c>
      <c r="H85" s="90">
        <f t="shared" si="54"/>
        <v>0.2621047251552564</v>
      </c>
      <c r="I85" s="90">
        <f t="shared" si="54"/>
        <v>0.2461335679213354</v>
      </c>
      <c r="J85" s="90">
        <f t="shared" si="54"/>
        <v>0.17873504030781454</v>
      </c>
      <c r="K85" s="90">
        <f t="shared" si="54"/>
        <v>0.09119046097320663</v>
      </c>
      <c r="L85" s="90">
        <f t="shared" si="54"/>
        <v>0.0054625536367241545</v>
      </c>
      <c r="M85" s="90">
        <f t="shared" si="54"/>
        <v>-0.0651805310445202</v>
      </c>
      <c r="N85" s="90">
        <f t="shared" si="54"/>
        <v>-0.1157490799877593</v>
      </c>
      <c r="O85" s="90">
        <f t="shared" si="54"/>
        <v>-0.14698566172093103</v>
      </c>
      <c r="P85" s="90">
        <f t="shared" si="54"/>
        <v>-0.1608295623812759</v>
      </c>
      <c r="Q85" s="90">
        <f t="shared" si="54"/>
        <v>-0.15593164469837367</v>
      </c>
      <c r="R85" s="90">
        <f t="shared" si="54"/>
        <v>-0.12614005494219824</v>
      </c>
      <c r="S85" s="90">
        <f t="shared" si="54"/>
        <v>-0.06260906457592968</v>
      </c>
      <c r="T85" s="90">
        <f t="shared" si="54"/>
        <v>0.04301396394357271</v>
      </c>
      <c r="U85" s="90">
        <f t="shared" si="54"/>
        <v>0.1964223249775284</v>
      </c>
      <c r="V85" s="90">
        <f t="shared" si="54"/>
        <v>0.3982813564781862</v>
      </c>
      <c r="W85" s="90">
        <f t="shared" si="54"/>
        <v>0.6346453905015188</v>
      </c>
      <c r="X85" s="90">
        <f t="shared" si="54"/>
        <v>0.8393193620615018</v>
      </c>
      <c r="Y85" s="90">
        <f t="shared" si="54"/>
        <v>0.794333878606513</v>
      </c>
      <c r="Z85" s="90">
        <f t="shared" si="54"/>
        <v>0.10100215464525963</v>
      </c>
    </row>
    <row r="86" spans="1:26" s="4" customFormat="1" ht="15">
      <c r="A86" s="53" t="s">
        <v>135</v>
      </c>
      <c r="B86" s="91">
        <f>B76-B66*(B83-B73)-B62^2*(B82-B72)</f>
        <v>2.719398201460909</v>
      </c>
      <c r="C86" s="91">
        <f aca="true" t="shared" si="55" ref="C86:Z86">C76-C66*(C83-C73)-C62^2*(C82-C72)</f>
        <v>-3.893697923004044</v>
      </c>
      <c r="D86" s="91">
        <f t="shared" si="55"/>
        <v>-7.06048551278377</v>
      </c>
      <c r="E86" s="91">
        <f t="shared" si="55"/>
        <v>-3.9230837021549827</v>
      </c>
      <c r="F86" s="91">
        <f t="shared" si="55"/>
        <v>-1.430005221622936</v>
      </c>
      <c r="G86" s="91">
        <f t="shared" si="55"/>
        <v>-0.5760033420295132</v>
      </c>
      <c r="H86" s="91">
        <f t="shared" si="55"/>
        <v>-0.2619894339376531</v>
      </c>
      <c r="I86" s="91">
        <f t="shared" si="55"/>
        <v>-0.09052023526532182</v>
      </c>
      <c r="J86" s="91">
        <f t="shared" si="55"/>
        <v>0.03058907901240999</v>
      </c>
      <c r="K86" s="91">
        <f t="shared" si="55"/>
        <v>0.11306432270088178</v>
      </c>
      <c r="L86" s="91">
        <f t="shared" si="55"/>
        <v>0.15527129465347056</v>
      </c>
      <c r="M86" s="91">
        <f t="shared" si="55"/>
        <v>0.16207564409649336</v>
      </c>
      <c r="N86" s="91">
        <f t="shared" si="55"/>
        <v>0.14705436744141376</v>
      </c>
      <c r="O86" s="91">
        <f t="shared" si="55"/>
        <v>0.1275999093743399</v>
      </c>
      <c r="P86" s="91">
        <f t="shared" si="55"/>
        <v>0.11873715015944257</v>
      </c>
      <c r="Q86" s="91">
        <f t="shared" si="55"/>
        <v>0.1292863827520273</v>
      </c>
      <c r="R86" s="91">
        <f t="shared" si="55"/>
        <v>0.16256504614951334</v>
      </c>
      <c r="S86" s="91">
        <f t="shared" si="55"/>
        <v>0.22269424292378404</v>
      </c>
      <c r="T86" s="91">
        <f t="shared" si="55"/>
        <v>0.3267506094895923</v>
      </c>
      <c r="U86" s="91">
        <f t="shared" si="55"/>
        <v>0.5239040069286356</v>
      </c>
      <c r="V86" s="91">
        <f t="shared" si="55"/>
        <v>0.9237889230009256</v>
      </c>
      <c r="W86" s="91">
        <f t="shared" si="55"/>
        <v>1.7245844719246992</v>
      </c>
      <c r="X86" s="91">
        <f t="shared" si="55"/>
        <v>3.1331148823423844</v>
      </c>
      <c r="Y86" s="91">
        <f t="shared" si="55"/>
        <v>4.636386311876323</v>
      </c>
      <c r="Z86" s="91">
        <f t="shared" si="55"/>
        <v>3.058917849384612</v>
      </c>
    </row>
    <row r="87" spans="1:26" s="4" customFormat="1" ht="15">
      <c r="A87" s="53" t="s">
        <v>136</v>
      </c>
      <c r="B87" s="90">
        <f>B77+B66*(B82-B72)-B62^2*(B83-B73)</f>
        <v>-4.10842264006137</v>
      </c>
      <c r="C87" s="90">
        <f aca="true" t="shared" si="56" ref="C87:Z87">C77+C66*(C82-C72)-C62^2*(C83-C73)</f>
        <v>-3.4141315288478062</v>
      </c>
      <c r="D87" s="90">
        <f t="shared" si="56"/>
        <v>1.4467646167748425</v>
      </c>
      <c r="E87" s="90">
        <f t="shared" si="56"/>
        <v>2.4577991816930993</v>
      </c>
      <c r="F87" s="90">
        <f t="shared" si="56"/>
        <v>1.1668004902668314</v>
      </c>
      <c r="G87" s="90">
        <f t="shared" si="56"/>
        <v>0.4022684614066687</v>
      </c>
      <c r="H87" s="90">
        <f t="shared" si="56"/>
        <v>0.06005295325806896</v>
      </c>
      <c r="I87" s="90">
        <f t="shared" si="56"/>
        <v>-0.1017580910462049</v>
      </c>
      <c r="J87" s="90">
        <f t="shared" si="56"/>
        <v>-0.16906727253239512</v>
      </c>
      <c r="K87" s="90">
        <f t="shared" si="56"/>
        <v>-0.176420243762408</v>
      </c>
      <c r="L87" s="90">
        <f t="shared" si="56"/>
        <v>-0.14921470288053595</v>
      </c>
      <c r="M87" s="90">
        <f t="shared" si="56"/>
        <v>-0.10979029247193027</v>
      </c>
      <c r="N87" s="90">
        <f t="shared" si="56"/>
        <v>-0.07315400750058348</v>
      </c>
      <c r="O87" s="90">
        <f t="shared" si="56"/>
        <v>-0.04349251948396791</v>
      </c>
      <c r="P87" s="90">
        <f t="shared" si="56"/>
        <v>-0.01466602467282993</v>
      </c>
      <c r="Q87" s="90">
        <f t="shared" si="56"/>
        <v>0.0258550131149827</v>
      </c>
      <c r="R87" s="90">
        <f t="shared" si="56"/>
        <v>0.09154117342469278</v>
      </c>
      <c r="S87" s="90">
        <f t="shared" si="56"/>
        <v>0.19210518880154379</v>
      </c>
      <c r="T87" s="90">
        <f t="shared" si="56"/>
        <v>0.3309933340656749</v>
      </c>
      <c r="U87" s="90">
        <f t="shared" si="56"/>
        <v>0.5036589193496482</v>
      </c>
      <c r="V87" s="90">
        <f t="shared" si="56"/>
        <v>0.6872505645091551</v>
      </c>
      <c r="W87" s="90">
        <f t="shared" si="56"/>
        <v>0.7883728212198802</v>
      </c>
      <c r="X87" s="90">
        <f t="shared" si="56"/>
        <v>0.46464769531398764</v>
      </c>
      <c r="Y87" s="90">
        <f t="shared" si="56"/>
        <v>-1.1464292022739302</v>
      </c>
      <c r="Z87" s="90">
        <f t="shared" si="56"/>
        <v>-4.16707556721942</v>
      </c>
    </row>
    <row r="88" spans="1:26" s="3" customFormat="1" ht="15">
      <c r="A88" s="98" t="s">
        <v>46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s="4" customFormat="1" ht="15">
      <c r="A89" s="53" t="s">
        <v>116</v>
      </c>
      <c r="B89" s="90">
        <f>B86*$O$6</f>
        <v>4.351037122337455</v>
      </c>
      <c r="C89" s="90">
        <f aca="true" t="shared" si="57" ref="C89:Z89">C86*$O$6</f>
        <v>-6.229916676806471</v>
      </c>
      <c r="D89" s="90">
        <f t="shared" si="57"/>
        <v>-11.296776820454033</v>
      </c>
      <c r="E89" s="90">
        <f t="shared" si="57"/>
        <v>-6.276933923447973</v>
      </c>
      <c r="F89" s="90">
        <f t="shared" si="57"/>
        <v>-2.288008354596698</v>
      </c>
      <c r="G89" s="90">
        <f t="shared" si="57"/>
        <v>-0.9216053472472212</v>
      </c>
      <c r="H89" s="90">
        <f t="shared" si="57"/>
        <v>-0.41918309430024503</v>
      </c>
      <c r="I89" s="90">
        <f t="shared" si="57"/>
        <v>-0.14483237642451494</v>
      </c>
      <c r="J89" s="90">
        <f t="shared" si="57"/>
        <v>0.04894252641985599</v>
      </c>
      <c r="K89" s="90">
        <f t="shared" si="57"/>
        <v>0.18090291632141087</v>
      </c>
      <c r="L89" s="90">
        <f t="shared" si="57"/>
        <v>0.2484340714455529</v>
      </c>
      <c r="M89" s="90">
        <f t="shared" si="57"/>
        <v>0.2593210305543894</v>
      </c>
      <c r="N89" s="90">
        <f t="shared" si="57"/>
        <v>0.235286987906262</v>
      </c>
      <c r="O89" s="90">
        <f t="shared" si="57"/>
        <v>0.20415985499894385</v>
      </c>
      <c r="P89" s="90">
        <f t="shared" si="57"/>
        <v>0.18997944025510813</v>
      </c>
      <c r="Q89" s="90">
        <f t="shared" si="57"/>
        <v>0.2068582124032437</v>
      </c>
      <c r="R89" s="90">
        <f t="shared" si="57"/>
        <v>0.26010407383922135</v>
      </c>
      <c r="S89" s="90">
        <f t="shared" si="57"/>
        <v>0.3563107886780545</v>
      </c>
      <c r="T89" s="90">
        <f t="shared" si="57"/>
        <v>0.5228009751833477</v>
      </c>
      <c r="U89" s="90">
        <f t="shared" si="57"/>
        <v>0.838246411085817</v>
      </c>
      <c r="V89" s="90">
        <f t="shared" si="57"/>
        <v>1.478062276801481</v>
      </c>
      <c r="W89" s="90">
        <f t="shared" si="57"/>
        <v>2.759335155079519</v>
      </c>
      <c r="X89" s="90">
        <f t="shared" si="57"/>
        <v>5.012983811747816</v>
      </c>
      <c r="Y89" s="90">
        <f t="shared" si="57"/>
        <v>7.418218099002117</v>
      </c>
      <c r="Z89" s="90">
        <f t="shared" si="57"/>
        <v>4.89426855901538</v>
      </c>
    </row>
    <row r="90" spans="1:26" s="4" customFormat="1" ht="15">
      <c r="A90" s="53" t="s">
        <v>117</v>
      </c>
      <c r="B90" s="90">
        <f>$O$6*B87</f>
        <v>-6.573476224098193</v>
      </c>
      <c r="C90" s="90">
        <f aca="true" t="shared" si="58" ref="C90:Z90">$O$6*C87</f>
        <v>-5.46261044615649</v>
      </c>
      <c r="D90" s="90">
        <f t="shared" si="58"/>
        <v>2.314823386839748</v>
      </c>
      <c r="E90" s="90">
        <f t="shared" si="58"/>
        <v>3.932478690708959</v>
      </c>
      <c r="F90" s="90">
        <f t="shared" si="58"/>
        <v>1.8668807844269304</v>
      </c>
      <c r="G90" s="90">
        <f t="shared" si="58"/>
        <v>0.64362953825067</v>
      </c>
      <c r="H90" s="90">
        <f t="shared" si="58"/>
        <v>0.09608472521291034</v>
      </c>
      <c r="I90" s="90">
        <f t="shared" si="58"/>
        <v>-0.16281294567392784</v>
      </c>
      <c r="J90" s="90">
        <f t="shared" si="58"/>
        <v>-0.2705076360518322</v>
      </c>
      <c r="K90" s="90">
        <f t="shared" si="58"/>
        <v>-0.2822723900198528</v>
      </c>
      <c r="L90" s="90">
        <f t="shared" si="58"/>
        <v>-0.23874352460885753</v>
      </c>
      <c r="M90" s="90">
        <f t="shared" si="58"/>
        <v>-0.17566446795508844</v>
      </c>
      <c r="N90" s="90">
        <f t="shared" si="58"/>
        <v>-0.11704641200093358</v>
      </c>
      <c r="O90" s="90">
        <f t="shared" si="58"/>
        <v>-0.06958803117434866</v>
      </c>
      <c r="P90" s="90">
        <f t="shared" si="58"/>
        <v>-0.02346563947652789</v>
      </c>
      <c r="Q90" s="90">
        <f t="shared" si="58"/>
        <v>0.041368020983972326</v>
      </c>
      <c r="R90" s="90">
        <f t="shared" si="58"/>
        <v>0.14646587747950846</v>
      </c>
      <c r="S90" s="90">
        <f t="shared" si="58"/>
        <v>0.30736830208247007</v>
      </c>
      <c r="T90" s="90">
        <f t="shared" si="58"/>
        <v>0.5295893345050798</v>
      </c>
      <c r="U90" s="90">
        <f t="shared" si="58"/>
        <v>0.8058542709594372</v>
      </c>
      <c r="V90" s="90">
        <f t="shared" si="58"/>
        <v>1.0996009032146483</v>
      </c>
      <c r="W90" s="90">
        <f t="shared" si="58"/>
        <v>1.2613965139518084</v>
      </c>
      <c r="X90" s="90">
        <f t="shared" si="58"/>
        <v>0.7434363125023803</v>
      </c>
      <c r="Y90" s="90">
        <f t="shared" si="58"/>
        <v>-1.8342867236382885</v>
      </c>
      <c r="Z90" s="90">
        <f t="shared" si="58"/>
        <v>-6.667320907551073</v>
      </c>
    </row>
    <row r="91" spans="1:26" s="4" customFormat="1" ht="15">
      <c r="A91" s="53" t="s">
        <v>118</v>
      </c>
      <c r="B91" s="90">
        <f>$K$6*B66</f>
        <v>-2.683374214273903</v>
      </c>
      <c r="C91" s="90">
        <f aca="true" t="shared" si="59" ref="C91:Z91">$K$6*C66</f>
        <v>0.7163472383483563</v>
      </c>
      <c r="D91" s="90">
        <f t="shared" si="59"/>
        <v>3.7361116187305274</v>
      </c>
      <c r="E91" s="90">
        <f t="shared" si="59"/>
        <v>2.8961321155157975</v>
      </c>
      <c r="F91" s="90">
        <f t="shared" si="59"/>
        <v>1.3119194370611336</v>
      </c>
      <c r="G91" s="90">
        <f t="shared" si="59"/>
        <v>0.5975456063354617</v>
      </c>
      <c r="H91" s="90">
        <f t="shared" si="59"/>
        <v>0.30989322614633136</v>
      </c>
      <c r="I91" s="90">
        <f t="shared" si="59"/>
        <v>0.16988926515310357</v>
      </c>
      <c r="J91" s="90">
        <f t="shared" si="59"/>
        <v>0.08760424331241805</v>
      </c>
      <c r="K91" s="90">
        <f t="shared" si="59"/>
        <v>0.036499392162622095</v>
      </c>
      <c r="L91" s="90">
        <f t="shared" si="59"/>
        <v>0.008479055036724829</v>
      </c>
      <c r="M91" s="90">
        <f t="shared" si="59"/>
        <v>-0.0005057399212370089</v>
      </c>
      <c r="N91" s="90">
        <f t="shared" si="59"/>
        <v>0.00523572553944836</v>
      </c>
      <c r="O91" s="90">
        <f t="shared" si="59"/>
        <v>0.020107969993038217</v>
      </c>
      <c r="P91" s="90">
        <f t="shared" si="59"/>
        <v>0.037126358941997936</v>
      </c>
      <c r="Q91" s="90">
        <f t="shared" si="59"/>
        <v>0.047746634185529574</v>
      </c>
      <c r="R91" s="90">
        <f t="shared" si="59"/>
        <v>0.041002029724360456</v>
      </c>
      <c r="S91" s="90">
        <f t="shared" si="59"/>
        <v>0.0014279609147524867</v>
      </c>
      <c r="T91" s="90">
        <f t="shared" si="59"/>
        <v>-0.09479888159123656</v>
      </c>
      <c r="U91" s="90">
        <f t="shared" si="59"/>
        <v>-0.28674256801737563</v>
      </c>
      <c r="V91" s="90">
        <f t="shared" si="59"/>
        <v>-0.6399605003163575</v>
      </c>
      <c r="W91" s="90">
        <f t="shared" si="59"/>
        <v>-1.255819459758588</v>
      </c>
      <c r="X91" s="90">
        <f t="shared" si="59"/>
        <v>-2.224595968978259</v>
      </c>
      <c r="Y91" s="90">
        <f t="shared" si="59"/>
        <v>-3.282944599579227</v>
      </c>
      <c r="Z91" s="90">
        <f t="shared" si="59"/>
        <v>-2.905718044035293</v>
      </c>
    </row>
    <row r="92" spans="1:26" s="4" customFormat="1" ht="15">
      <c r="A92" s="53" t="s">
        <v>122</v>
      </c>
      <c r="B92" s="90">
        <f>B89*B84+B90*B85+B91*B62</f>
        <v>17.409100606257255</v>
      </c>
      <c r="C92" s="90">
        <f aca="true" t="shared" si="60" ref="C92:Z92">C89*C84+C90*C85+C91*C62</f>
        <v>-17.30657547869007</v>
      </c>
      <c r="D92" s="90">
        <f t="shared" si="60"/>
        <v>-28.997461122246907</v>
      </c>
      <c r="E92" s="90">
        <f t="shared" si="60"/>
        <v>-6.938485341396133</v>
      </c>
      <c r="F92" s="90">
        <f t="shared" si="60"/>
        <v>0.3519828743255585</v>
      </c>
      <c r="G92" s="90">
        <f t="shared" si="60"/>
        <v>0.7074078770910989</v>
      </c>
      <c r="H92" s="90">
        <f t="shared" si="60"/>
        <v>0.3812360397742528</v>
      </c>
      <c r="I92" s="90">
        <f t="shared" si="60"/>
        <v>0.10448237292540463</v>
      </c>
      <c r="J92" s="90">
        <f t="shared" si="60"/>
        <v>-0.07964252317785425</v>
      </c>
      <c r="K92" s="90">
        <f t="shared" si="60"/>
        <v>-0.17285299713580932</v>
      </c>
      <c r="L92" s="90">
        <f t="shared" si="60"/>
        <v>-0.19125528304743153</v>
      </c>
      <c r="M92" s="90">
        <f t="shared" si="60"/>
        <v>-0.1641509385535112</v>
      </c>
      <c r="N92" s="90">
        <f t="shared" si="60"/>
        <v>-0.12215521579370037</v>
      </c>
      <c r="O92" s="90">
        <f t="shared" si="60"/>
        <v>-0.08692302748890747</v>
      </c>
      <c r="P92" s="90">
        <f t="shared" si="60"/>
        <v>-0.06873450524128026</v>
      </c>
      <c r="Q92" s="90">
        <f t="shared" si="60"/>
        <v>-0.06880711506352334</v>
      </c>
      <c r="R92" s="90">
        <f t="shared" si="60"/>
        <v>-0.07976678112514421</v>
      </c>
      <c r="S92" s="90">
        <f t="shared" si="60"/>
        <v>-0.0807789665558316</v>
      </c>
      <c r="T92" s="90">
        <f t="shared" si="60"/>
        <v>-0.025126837398163904</v>
      </c>
      <c r="U92" s="90">
        <f t="shared" si="60"/>
        <v>0.19524257302383052</v>
      </c>
      <c r="V92" s="90">
        <f t="shared" si="60"/>
        <v>0.8692501442023128</v>
      </c>
      <c r="W92" s="90">
        <f t="shared" si="60"/>
        <v>2.8351864469975396</v>
      </c>
      <c r="X92" s="90">
        <f t="shared" si="60"/>
        <v>8.210047519502766</v>
      </c>
      <c r="Y92" s="90">
        <f t="shared" si="60"/>
        <v>18.845096363933383</v>
      </c>
      <c r="Z92" s="90">
        <f t="shared" si="60"/>
        <v>19.721642164692664</v>
      </c>
    </row>
    <row r="93" spans="1:26" s="4" customFormat="1" ht="15">
      <c r="A93" s="53" t="s">
        <v>121</v>
      </c>
      <c r="B93" s="91">
        <f>$L$6*B85</f>
        <v>1.5726035690269096</v>
      </c>
      <c r="C93" s="91">
        <f aca="true" t="shared" si="61" ref="C93:Z93">$L$6*C85</f>
        <v>-16.17044097390499</v>
      </c>
      <c r="D93" s="91">
        <f t="shared" si="61"/>
        <v>-20.897398131586904</v>
      </c>
      <c r="E93" s="91">
        <f t="shared" si="61"/>
        <v>-10.887262078617935</v>
      </c>
      <c r="F93" s="91">
        <f t="shared" si="61"/>
        <v>-1.5465937557959495</v>
      </c>
      <c r="G93" s="91">
        <f t="shared" si="61"/>
        <v>2.793893428139715</v>
      </c>
      <c r="H93" s="91">
        <f t="shared" si="61"/>
        <v>4.113995766036905</v>
      </c>
      <c r="I93" s="91">
        <f t="shared" si="61"/>
        <v>3.863312482093281</v>
      </c>
      <c r="J93" s="91">
        <f t="shared" si="61"/>
        <v>2.805425192671457</v>
      </c>
      <c r="K93" s="91">
        <f t="shared" si="61"/>
        <v>1.4313254754354514</v>
      </c>
      <c r="L93" s="91">
        <f t="shared" si="61"/>
        <v>0.08574024188202234</v>
      </c>
      <c r="M93" s="91">
        <f t="shared" si="61"/>
        <v>-1.0230736152747892</v>
      </c>
      <c r="N93" s="91">
        <f t="shared" si="61"/>
        <v>-1.81679755948787</v>
      </c>
      <c r="O93" s="91">
        <f t="shared" si="61"/>
        <v>-2.307086946371734</v>
      </c>
      <c r="P93" s="91">
        <f t="shared" si="61"/>
        <v>-2.5243808111365067</v>
      </c>
      <c r="Q93" s="91">
        <f t="shared" si="61"/>
        <v>-2.4475030951856733</v>
      </c>
      <c r="R93" s="91">
        <f t="shared" si="61"/>
        <v>-1.9798943023727438</v>
      </c>
      <c r="S93" s="91">
        <f t="shared" si="61"/>
        <v>-0.9827118775837924</v>
      </c>
      <c r="T93" s="91">
        <f t="shared" si="61"/>
        <v>0.6751471780583173</v>
      </c>
      <c r="U93" s="91">
        <f t="shared" si="61"/>
        <v>3.083044812847286</v>
      </c>
      <c r="V93" s="91">
        <f t="shared" si="61"/>
        <v>6.251424171281611</v>
      </c>
      <c r="W93" s="91">
        <f t="shared" si="61"/>
        <v>9.96139404931184</v>
      </c>
      <c r="X93" s="91">
        <f t="shared" si="61"/>
        <v>13.173956706917334</v>
      </c>
      <c r="Y93" s="91">
        <f t="shared" si="61"/>
        <v>12.46786455860783</v>
      </c>
      <c r="Z93" s="91">
        <f t="shared" si="61"/>
        <v>1.5853298193119953</v>
      </c>
    </row>
    <row r="94" spans="1:26" s="4" customFormat="1" ht="15">
      <c r="A94" s="53" t="s">
        <v>120</v>
      </c>
      <c r="B94" s="90">
        <f>0.5*$O$6*(B84^2+B85^2)+0.5*$K$6*B62^2</f>
        <v>11.558174991041668</v>
      </c>
      <c r="C94" s="90">
        <f aca="true" t="shared" si="62" ref="C94:Z94">0.5*$O$6*(C84^2+C85^2)+0.5*$K$6*C62^2</f>
        <v>12.254321568009038</v>
      </c>
      <c r="D94" s="90">
        <f t="shared" si="62"/>
        <v>5.504868806289938</v>
      </c>
      <c r="E94" s="90">
        <f t="shared" si="62"/>
        <v>0.7712919644777199</v>
      </c>
      <c r="F94" s="90">
        <f t="shared" si="62"/>
        <v>0.10216154074588607</v>
      </c>
      <c r="G94" s="90">
        <f t="shared" si="62"/>
        <v>0.35243269754718004</v>
      </c>
      <c r="H94" s="90">
        <f t="shared" si="62"/>
        <v>0.5679669393282922</v>
      </c>
      <c r="I94" s="90">
        <f t="shared" si="62"/>
        <v>0.6664629136136276</v>
      </c>
      <c r="J94" s="90">
        <f t="shared" si="62"/>
        <v>0.6680124532879379</v>
      </c>
      <c r="K94" s="90">
        <f t="shared" si="62"/>
        <v>0.6028557015518362</v>
      </c>
      <c r="L94" s="90">
        <f t="shared" si="62"/>
        <v>0.5038278368993017</v>
      </c>
      <c r="M94" s="90">
        <f t="shared" si="62"/>
        <v>0.39962531244677824</v>
      </c>
      <c r="N94" s="90">
        <f t="shared" si="62"/>
        <v>0.30892090688730056</v>
      </c>
      <c r="O94" s="90">
        <f t="shared" si="62"/>
        <v>0.23862963799686013</v>
      </c>
      <c r="P94" s="90">
        <f t="shared" si="62"/>
        <v>0.18605256735334164</v>
      </c>
      <c r="Q94" s="90">
        <f t="shared" si="62"/>
        <v>0.1433237310294016</v>
      </c>
      <c r="R94" s="90">
        <f t="shared" si="62"/>
        <v>0.10304166599931396</v>
      </c>
      <c r="S94" s="90">
        <f t="shared" si="62"/>
        <v>0.06428878987787016</v>
      </c>
      <c r="T94" s="90">
        <f t="shared" si="62"/>
        <v>0.038917813586574194</v>
      </c>
      <c r="U94" s="90">
        <f t="shared" si="62"/>
        <v>0.06194282353770658</v>
      </c>
      <c r="V94" s="90">
        <f t="shared" si="62"/>
        <v>0.22065056253595708</v>
      </c>
      <c r="W94" s="90">
        <f t="shared" si="62"/>
        <v>0.7442650402514922</v>
      </c>
      <c r="X94" s="90">
        <f t="shared" si="62"/>
        <v>2.2363088521668164</v>
      </c>
      <c r="Y94" s="90">
        <f t="shared" si="62"/>
        <v>5.906518378243851</v>
      </c>
      <c r="Z94" s="90">
        <f t="shared" si="62"/>
        <v>11.746000328015143</v>
      </c>
    </row>
    <row r="95" spans="1:26" s="4" customFormat="1" ht="15">
      <c r="A95" s="53" t="s">
        <v>119</v>
      </c>
      <c r="B95" s="90">
        <f>$L$6*(B83-$J$6)</f>
        <v>0</v>
      </c>
      <c r="C95" s="90">
        <f aca="true" t="shared" si="63" ref="C95:Z95">$L$6*(C83-$J$6)</f>
        <v>-1.9619683491985715</v>
      </c>
      <c r="D95" s="90">
        <f t="shared" si="63"/>
        <v>-7.2952229708211895</v>
      </c>
      <c r="E95" s="90">
        <f t="shared" si="63"/>
        <v>-11.892613500374377</v>
      </c>
      <c r="F95" s="90">
        <f t="shared" si="63"/>
        <v>-13.743405201585547</v>
      </c>
      <c r="G95" s="90">
        <f t="shared" si="63"/>
        <v>-13.355144676913229</v>
      </c>
      <c r="H95" s="90">
        <f t="shared" si="63"/>
        <v>-11.806296200784507</v>
      </c>
      <c r="I95" s="90">
        <f t="shared" si="63"/>
        <v>-9.95615890477525</v>
      </c>
      <c r="J95" s="90">
        <f t="shared" si="63"/>
        <v>-8.353769234504725</v>
      </c>
      <c r="K95" s="90">
        <f t="shared" si="63"/>
        <v>-7.300150595962614</v>
      </c>
      <c r="L95" s="90">
        <f t="shared" si="63"/>
        <v>-6.914992674262987</v>
      </c>
      <c r="M95" s="90">
        <f t="shared" si="63"/>
        <v>-7.187328754149832</v>
      </c>
      <c r="N95" s="90">
        <f t="shared" si="63"/>
        <v>-8.013843722071865</v>
      </c>
      <c r="O95" s="90">
        <f t="shared" si="63"/>
        <v>-9.229561986734602</v>
      </c>
      <c r="P95" s="90">
        <f t="shared" si="63"/>
        <v>-10.633565088109416</v>
      </c>
      <c r="Q95" s="90">
        <f t="shared" si="63"/>
        <v>-12.010647309544144</v>
      </c>
      <c r="R95" s="90">
        <f t="shared" si="63"/>
        <v>-13.148750039508831</v>
      </c>
      <c r="S95" s="90">
        <f t="shared" si="63"/>
        <v>-13.851480575802332</v>
      </c>
      <c r="T95" s="90">
        <f t="shared" si="63"/>
        <v>-13.94501763132789</v>
      </c>
      <c r="U95" s="90">
        <f t="shared" si="63"/>
        <v>-13.279766555032307</v>
      </c>
      <c r="V95" s="90">
        <f t="shared" si="63"/>
        <v>-11.731463004110816</v>
      </c>
      <c r="W95" s="90">
        <f t="shared" si="63"/>
        <v>-9.221630737753653</v>
      </c>
      <c r="X95" s="90">
        <f t="shared" si="63"/>
        <v>-5.8252380348266755</v>
      </c>
      <c r="Y95" s="90">
        <f t="shared" si="63"/>
        <v>-2.1400323829501877</v>
      </c>
      <c r="Z95" s="90">
        <f t="shared" si="63"/>
        <v>0</v>
      </c>
    </row>
    <row r="96" spans="1:26" s="1" customFormat="1" ht="15">
      <c r="A96" s="71" t="s">
        <v>190</v>
      </c>
      <c r="B96" s="89">
        <f>B92+B93</f>
        <v>18.981704175284165</v>
      </c>
      <c r="C96" s="89">
        <f aca="true" t="shared" si="64" ref="C96:Z96">C92+C93</f>
        <v>-33.477016452595066</v>
      </c>
      <c r="D96" s="89">
        <f t="shared" si="64"/>
        <v>-49.894859253833815</v>
      </c>
      <c r="E96" s="89">
        <f t="shared" si="64"/>
        <v>-17.825747420014068</v>
      </c>
      <c r="F96" s="89">
        <f t="shared" si="64"/>
        <v>-1.1946108814703909</v>
      </c>
      <c r="G96" s="89">
        <f t="shared" si="64"/>
        <v>3.5013013052308137</v>
      </c>
      <c r="H96" s="89">
        <f t="shared" si="64"/>
        <v>4.495231805811158</v>
      </c>
      <c r="I96" s="89">
        <f t="shared" si="64"/>
        <v>3.9677948550186857</v>
      </c>
      <c r="J96" s="89">
        <f t="shared" si="64"/>
        <v>2.725782669493603</v>
      </c>
      <c r="K96" s="89">
        <f t="shared" si="64"/>
        <v>1.2584724782996421</v>
      </c>
      <c r="L96" s="89">
        <f t="shared" si="64"/>
        <v>-0.10551504116540919</v>
      </c>
      <c r="M96" s="89">
        <f t="shared" si="64"/>
        <v>-1.1872245538283004</v>
      </c>
      <c r="N96" s="89">
        <f t="shared" si="64"/>
        <v>-1.9389527752815705</v>
      </c>
      <c r="O96" s="89">
        <f t="shared" si="64"/>
        <v>-2.3940099738606415</v>
      </c>
      <c r="P96" s="89">
        <f t="shared" si="64"/>
        <v>-2.593115316377787</v>
      </c>
      <c r="Q96" s="89">
        <f t="shared" si="64"/>
        <v>-2.5163102102491965</v>
      </c>
      <c r="R96" s="89">
        <f t="shared" si="64"/>
        <v>-2.059661083497888</v>
      </c>
      <c r="S96" s="89">
        <f t="shared" si="64"/>
        <v>-1.063490844139624</v>
      </c>
      <c r="T96" s="89">
        <f t="shared" si="64"/>
        <v>0.6500203406601534</v>
      </c>
      <c r="U96" s="89">
        <f t="shared" si="64"/>
        <v>3.2782873858711166</v>
      </c>
      <c r="V96" s="89">
        <f t="shared" si="64"/>
        <v>7.1206743154839245</v>
      </c>
      <c r="W96" s="89">
        <f t="shared" si="64"/>
        <v>12.79658049630938</v>
      </c>
      <c r="X96" s="89">
        <f t="shared" si="64"/>
        <v>21.3840042264201</v>
      </c>
      <c r="Y96" s="89">
        <f t="shared" si="64"/>
        <v>31.312960922541215</v>
      </c>
      <c r="Z96" s="89">
        <f t="shared" si="64"/>
        <v>21.306971984004658</v>
      </c>
    </row>
    <row r="97" spans="1:26" s="1" customFormat="1" ht="15">
      <c r="A97" s="240" t="s">
        <v>78</v>
      </c>
      <c r="B97" s="183"/>
      <c r="C97" s="183"/>
      <c r="D97" s="183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s="163" customFormat="1" ht="15.75" customHeight="1">
      <c r="A98" s="59" t="s">
        <v>81</v>
      </c>
      <c r="B98" s="179">
        <f>$B$11+($F$8-$B$11)*COS(B59)-($G$8-$B$12)*SIN(B59)</f>
        <v>1.8198696128439469</v>
      </c>
      <c r="C98" s="179">
        <f aca="true" t="shared" si="65" ref="C98:Z98">$B$11+($F$8-$B$11)*COS(C59)-($G$8-$B$12)*SIN(C59)</f>
        <v>1.8460252670462987</v>
      </c>
      <c r="D98" s="179">
        <f t="shared" si="65"/>
        <v>1.8790101014724447</v>
      </c>
      <c r="E98" s="179">
        <f t="shared" si="65"/>
        <v>1.9050167923464938</v>
      </c>
      <c r="F98" s="179">
        <f t="shared" si="65"/>
        <v>1.918756951483797</v>
      </c>
      <c r="G98" s="179">
        <f t="shared" si="65"/>
        <v>1.9222733519026387</v>
      </c>
      <c r="H98" s="179">
        <f t="shared" si="65"/>
        <v>1.918847109082879</v>
      </c>
      <c r="I98" s="179">
        <f t="shared" si="65"/>
        <v>1.9110197118143475</v>
      </c>
      <c r="J98" s="179">
        <f t="shared" si="65"/>
        <v>1.9005358398462044</v>
      </c>
      <c r="K98" s="179">
        <f t="shared" si="65"/>
        <v>1.8885970276604638</v>
      </c>
      <c r="L98" s="179">
        <f t="shared" si="65"/>
        <v>1.876061715710332</v>
      </c>
      <c r="M98" s="179">
        <f t="shared" si="65"/>
        <v>1.8635673313596968</v>
      </c>
      <c r="N98" s="179">
        <f t="shared" si="65"/>
        <v>1.8515999137505654</v>
      </c>
      <c r="O98" s="179">
        <f t="shared" si="65"/>
        <v>1.8405326631637997</v>
      </c>
      <c r="P98" s="179">
        <f t="shared" si="65"/>
        <v>1.830646381317568</v>
      </c>
      <c r="Q98" s="179">
        <f t="shared" si="65"/>
        <v>1.8221390925519048</v>
      </c>
      <c r="R98" s="179">
        <f t="shared" si="65"/>
        <v>1.8151289416491951</v>
      </c>
      <c r="S98" s="179">
        <f t="shared" si="65"/>
        <v>1.8096530285881582</v>
      </c>
      <c r="T98" s="179">
        <f t="shared" si="65"/>
        <v>1.8056652308092058</v>
      </c>
      <c r="U98" s="179">
        <f t="shared" si="65"/>
        <v>1.803040117160988</v>
      </c>
      <c r="V98" s="179">
        <f t="shared" si="65"/>
        <v>1.8016043636044665</v>
      </c>
      <c r="W98" s="179">
        <f t="shared" si="65"/>
        <v>1.8012615239879501</v>
      </c>
      <c r="X98" s="179">
        <f t="shared" si="65"/>
        <v>1.8023974960773008</v>
      </c>
      <c r="Y98" s="179">
        <f t="shared" si="65"/>
        <v>1.8069491380674294</v>
      </c>
      <c r="Z98" s="179">
        <f t="shared" si="65"/>
        <v>1.8198696128439469</v>
      </c>
    </row>
    <row r="99" spans="1:26" s="163" customFormat="1" ht="15.75" customHeight="1">
      <c r="A99" s="59" t="s">
        <v>82</v>
      </c>
      <c r="B99" s="179">
        <f>$B$12+($F$8-$B$11)*SIN(B59)+($G$8-$B$12)*COS(B59)</f>
        <v>0.5900651935780266</v>
      </c>
      <c r="C99" s="179">
        <f aca="true" t="shared" si="66" ref="C99:Z99">$B$12+($F$8-$B$11)*SIN(C59)+($G$8-$B$12)*COS(C59)</f>
        <v>0.6298093874998005</v>
      </c>
      <c r="D99" s="179">
        <f t="shared" si="66"/>
        <v>0.6609973289391126</v>
      </c>
      <c r="E99" s="179">
        <f t="shared" si="66"/>
        <v>0.6775862768771505</v>
      </c>
      <c r="F99" s="179">
        <f t="shared" si="66"/>
        <v>0.6842776778099585</v>
      </c>
      <c r="G99" s="179">
        <f t="shared" si="66"/>
        <v>0.6857882225728691</v>
      </c>
      <c r="H99" s="179">
        <f t="shared" si="66"/>
        <v>0.6843173995232974</v>
      </c>
      <c r="I99" s="179">
        <f t="shared" si="66"/>
        <v>0.680668768152205</v>
      </c>
      <c r="J99" s="179">
        <f t="shared" si="66"/>
        <v>0.6751158939563655</v>
      </c>
      <c r="K99" s="179">
        <f t="shared" si="66"/>
        <v>0.6677738752760795</v>
      </c>
      <c r="L99" s="179">
        <f t="shared" si="66"/>
        <v>0.6587387701809815</v>
      </c>
      <c r="M99" s="179">
        <f t="shared" si="66"/>
        <v>0.6481378493124638</v>
      </c>
      <c r="N99" s="179">
        <f t="shared" si="66"/>
        <v>0.6361473829068974</v>
      </c>
      <c r="O99" s="179">
        <f t="shared" si="66"/>
        <v>0.6229994469646379</v>
      </c>
      <c r="P99" s="179">
        <f t="shared" si="66"/>
        <v>0.608986454710677</v>
      </c>
      <c r="Q99" s="179">
        <f t="shared" si="66"/>
        <v>0.5944679473312354</v>
      </c>
      <c r="R99" s="179">
        <f t="shared" si="66"/>
        <v>0.5798835856449265</v>
      </c>
      <c r="S99" s="179">
        <f t="shared" si="66"/>
        <v>0.5657778530021804</v>
      </c>
      <c r="T99" s="179">
        <f t="shared" si="66"/>
        <v>0.5528459360291561</v>
      </c>
      <c r="U99" s="179">
        <f t="shared" si="66"/>
        <v>0.5420178536253304</v>
      </c>
      <c r="V99" s="179">
        <f t="shared" si="66"/>
        <v>0.5346102142502517</v>
      </c>
      <c r="W99" s="179">
        <f t="shared" si="66"/>
        <v>0.5325839473306238</v>
      </c>
      <c r="X99" s="179">
        <f t="shared" si="66"/>
        <v>0.5388837487225272</v>
      </c>
      <c r="Y99" s="179">
        <f t="shared" si="66"/>
        <v>0.5573590461769414</v>
      </c>
      <c r="Z99" s="179">
        <f t="shared" si="66"/>
        <v>0.5900651935780266</v>
      </c>
    </row>
    <row r="100" spans="1:26" s="163" customFormat="1" ht="15.75" customHeight="1">
      <c r="A100" s="59" t="s">
        <v>83</v>
      </c>
      <c r="B100" s="179">
        <f aca="true" t="shared" si="67" ref="B100:Z100">-B62*(B99-$B$12)</f>
        <v>0.0736513678364591</v>
      </c>
      <c r="C100" s="179">
        <f t="shared" si="67"/>
        <v>0.12188118438955069</v>
      </c>
      <c r="D100" s="179">
        <f t="shared" si="67"/>
        <v>0.11693000950828283</v>
      </c>
      <c r="E100" s="179">
        <f t="shared" si="67"/>
        <v>0.06612182252820592</v>
      </c>
      <c r="F100" s="179">
        <f t="shared" si="67"/>
        <v>0.022565304065496828</v>
      </c>
      <c r="G100" s="179">
        <f t="shared" si="67"/>
        <v>-0.0011173011445813465</v>
      </c>
      <c r="H100" s="179">
        <f t="shared" si="67"/>
        <v>-0.013541924189490743</v>
      </c>
      <c r="I100" s="179">
        <f t="shared" si="67"/>
        <v>-0.02022042500598631</v>
      </c>
      <c r="J100" s="179">
        <f t="shared" si="67"/>
        <v>-0.02345108291886364</v>
      </c>
      <c r="K100" s="179">
        <f t="shared" si="67"/>
        <v>-0.02433175387804394</v>
      </c>
      <c r="L100" s="179">
        <f t="shared" si="67"/>
        <v>-0.02361914564647942</v>
      </c>
      <c r="M100" s="179">
        <f t="shared" si="67"/>
        <v>-0.021975161861641834</v>
      </c>
      <c r="N100" s="179">
        <f t="shared" si="67"/>
        <v>-0.01997617397838565</v>
      </c>
      <c r="O100" s="179">
        <f t="shared" si="67"/>
        <v>-0.018036398631321848</v>
      </c>
      <c r="P100" s="179">
        <f t="shared" si="67"/>
        <v>-0.016319782117601683</v>
      </c>
      <c r="Q100" s="179">
        <f t="shared" si="67"/>
        <v>-0.014722898022194276</v>
      </c>
      <c r="R100" s="179">
        <f t="shared" si="67"/>
        <v>-0.012990479262894856</v>
      </c>
      <c r="S100" s="179">
        <f t="shared" si="67"/>
        <v>-0.010905620607339352</v>
      </c>
      <c r="T100" s="179">
        <f t="shared" si="67"/>
        <v>-0.008422137071495757</v>
      </c>
      <c r="U100" s="179">
        <f t="shared" si="67"/>
        <v>-0.005667875484738544</v>
      </c>
      <c r="V100" s="179">
        <f t="shared" si="67"/>
        <v>-0.002757724890792844</v>
      </c>
      <c r="W100" s="179">
        <f t="shared" si="67"/>
        <v>0.000846386530579735</v>
      </c>
      <c r="X100" s="179">
        <f t="shared" si="67"/>
        <v>0.00817638526153608</v>
      </c>
      <c r="Y100" s="179">
        <f t="shared" si="67"/>
        <v>0.0284200736620257</v>
      </c>
      <c r="Z100" s="179">
        <f t="shared" si="67"/>
        <v>0.07424738946542264</v>
      </c>
    </row>
    <row r="101" spans="1:26" s="163" customFormat="1" ht="15.75" customHeight="1">
      <c r="A101" s="59" t="s">
        <v>84</v>
      </c>
      <c r="B101" s="179">
        <f aca="true" t="shared" si="68" ref="B101:Z101">B62*(B98-$B$11)</f>
        <v>0.1473027356729182</v>
      </c>
      <c r="C101" s="179">
        <f t="shared" si="68"/>
        <v>0.1445706137276916</v>
      </c>
      <c r="D101" s="179">
        <f t="shared" si="68"/>
        <v>0.08787319689374218</v>
      </c>
      <c r="E101" s="179">
        <f t="shared" si="68"/>
        <v>0.03536569891585445</v>
      </c>
      <c r="F101" s="179">
        <f t="shared" si="68"/>
        <v>0.009948432793182072</v>
      </c>
      <c r="G101" s="179">
        <f t="shared" si="68"/>
        <v>-0.0004674358346347368</v>
      </c>
      <c r="H101" s="179">
        <f t="shared" si="68"/>
        <v>-0.0059623578642056425</v>
      </c>
      <c r="I101" s="179">
        <f t="shared" si="68"/>
        <v>-0.009958662267256274</v>
      </c>
      <c r="J101" s="179">
        <f t="shared" si="68"/>
        <v>-0.013319991775292557</v>
      </c>
      <c r="K101" s="179">
        <f t="shared" si="68"/>
        <v>-0.01615644688297072</v>
      </c>
      <c r="L101" s="179">
        <f t="shared" si="68"/>
        <v>-0.018441092774468027</v>
      </c>
      <c r="M101" s="179">
        <f t="shared" si="68"/>
        <v>-0.02023878428437639</v>
      </c>
      <c r="N101" s="179">
        <f t="shared" si="68"/>
        <v>-0.021773947306452095</v>
      </c>
      <c r="O101" s="179">
        <f t="shared" si="68"/>
        <v>-0.023383978764391425</v>
      </c>
      <c r="P101" s="179">
        <f t="shared" si="68"/>
        <v>-0.025359244550726058</v>
      </c>
      <c r="Q101" s="179">
        <f t="shared" si="68"/>
        <v>-0.027719751264537133</v>
      </c>
      <c r="R101" s="179">
        <f t="shared" si="68"/>
        <v>-0.030063293108677357</v>
      </c>
      <c r="S101" s="179">
        <f t="shared" si="68"/>
        <v>-0.031558522500039723</v>
      </c>
      <c r="T101" s="179">
        <f t="shared" si="68"/>
        <v>-0.03097142726319301</v>
      </c>
      <c r="U101" s="179">
        <f t="shared" si="68"/>
        <v>-0.026568327391840542</v>
      </c>
      <c r="V101" s="179">
        <f t="shared" si="68"/>
        <v>-0.015808066969960198</v>
      </c>
      <c r="W101" s="179">
        <f t="shared" si="68"/>
        <v>0.005162344742880565</v>
      </c>
      <c r="X101" s="179">
        <f t="shared" si="68"/>
        <v>0.0415514001040786</v>
      </c>
      <c r="Y101" s="179">
        <f t="shared" si="68"/>
        <v>0.09565221324839276</v>
      </c>
      <c r="Z101" s="179">
        <f t="shared" si="68"/>
        <v>0.14849477893084528</v>
      </c>
    </row>
    <row r="102" spans="1:26" s="163" customFormat="1" ht="15.75" customHeight="1">
      <c r="A102" s="59" t="s">
        <v>85</v>
      </c>
      <c r="B102" s="179">
        <f>-B66*(B99-$B$12)-B62*B101</f>
        <v>0.20996832037280572</v>
      </c>
      <c r="C102" s="179">
        <f>-C66*(C99-$B$12)-C62*C101</f>
        <v>0.10130063711669929</v>
      </c>
      <c r="D102" s="179">
        <f aca="true" t="shared" si="69" ref="D102:R102">-D66*(D99-$B$12)-D62*D101</f>
        <v>-0.15895823602415265</v>
      </c>
      <c r="E102" s="179">
        <f t="shared" si="69"/>
        <v>-0.17731848018832413</v>
      </c>
      <c r="F102" s="179">
        <f t="shared" si="69"/>
        <v>-0.08832158999771045</v>
      </c>
      <c r="G102" s="179">
        <f t="shared" si="69"/>
        <v>-0.04111457265786367</v>
      </c>
      <c r="H102" s="179">
        <f t="shared" si="69"/>
        <v>-0.020717020630318696</v>
      </c>
      <c r="I102" s="179">
        <f t="shared" si="69"/>
        <v>-0.010253459022285692</v>
      </c>
      <c r="J102" s="179">
        <f t="shared" si="69"/>
        <v>-0.0038980330914367292</v>
      </c>
      <c r="K102" s="179">
        <f t="shared" si="69"/>
        <v>7.51057145116198E-05</v>
      </c>
      <c r="L102" s="179">
        <f t="shared" si="69"/>
        <v>0.0022453953650346456</v>
      </c>
      <c r="M102" s="179">
        <f t="shared" si="69"/>
        <v>0.0030300228539957203</v>
      </c>
      <c r="N102" s="179">
        <f t="shared" si="69"/>
        <v>0.00293076306428702</v>
      </c>
      <c r="O102" s="179">
        <f t="shared" si="69"/>
        <v>0.0025129553414458775</v>
      </c>
      <c r="P102" s="179">
        <f t="shared" si="69"/>
        <v>0.002298709665525718</v>
      </c>
      <c r="Q102" s="179">
        <f t="shared" si="69"/>
        <v>0.002649577935123315</v>
      </c>
      <c r="R102" s="179">
        <f t="shared" si="69"/>
        <v>0.0036757143399695803</v>
      </c>
      <c r="S102" s="179">
        <f aca="true" t="shared" si="70" ref="S102:Z102">-S66*(S99-$B$12)-S62*S101</f>
        <v>0.005197448123734922</v>
      </c>
      <c r="T102" s="179">
        <f t="shared" si="70"/>
        <v>0.006791421034590675</v>
      </c>
      <c r="U102" s="179">
        <f t="shared" si="70"/>
        <v>0.008046192844111889</v>
      </c>
      <c r="V102" s="179">
        <f t="shared" si="70"/>
        <v>0.009462975326855555</v>
      </c>
      <c r="W102" s="179">
        <f t="shared" si="70"/>
        <v>0.015289485625682123</v>
      </c>
      <c r="X102" s="179">
        <f t="shared" si="70"/>
        <v>0.04077460347669712</v>
      </c>
      <c r="Y102" s="179">
        <f t="shared" si="70"/>
        <v>0.1171366219504673</v>
      </c>
      <c r="Z102" s="179">
        <f t="shared" si="70"/>
        <v>0.2193426400357454</v>
      </c>
    </row>
    <row r="103" spans="1:26" s="163" customFormat="1" ht="15.75" customHeight="1">
      <c r="A103" s="59" t="s">
        <v>86</v>
      </c>
      <c r="B103" s="179">
        <f>-B66*(B98-$B$11)-B62*$B$10</f>
        <v>0.03506686636813508</v>
      </c>
      <c r="C103" s="179">
        <f aca="true" t="shared" si="71" ref="C103:Z103">-C66*(C98-$B$11)-C62*$B$10</f>
        <v>0.28666141932912687</v>
      </c>
      <c r="D103" s="179">
        <f t="shared" si="71"/>
        <v>0.35756024564479505</v>
      </c>
      <c r="E103" s="179">
        <f t="shared" si="71"/>
        <v>0.19936035579414862</v>
      </c>
      <c r="F103" s="179">
        <f t="shared" si="71"/>
        <v>0.07153372824513093</v>
      </c>
      <c r="G103" s="179">
        <f t="shared" si="71"/>
        <v>0.015627511911489513</v>
      </c>
      <c r="H103" s="179">
        <f t="shared" si="71"/>
        <v>-0.009920233469652432</v>
      </c>
      <c r="I103" s="179">
        <f t="shared" si="71"/>
        <v>-0.023701740143278503</v>
      </c>
      <c r="J103" s="179">
        <f t="shared" si="71"/>
        <v>-0.03183230406366916</v>
      </c>
      <c r="K103" s="179">
        <f t="shared" si="71"/>
        <v>-0.03646202058120844</v>
      </c>
      <c r="L103" s="179">
        <f t="shared" si="71"/>
        <v>-0.038564582615737864</v>
      </c>
      <c r="M103" s="179">
        <f t="shared" si="71"/>
        <v>-0.03886157159420101</v>
      </c>
      <c r="N103" s="179">
        <f t="shared" si="71"/>
        <v>-0.03812464637585331</v>
      </c>
      <c r="O103" s="179">
        <f t="shared" si="71"/>
        <v>-0.03720213436514222</v>
      </c>
      <c r="P103" s="179">
        <f t="shared" si="71"/>
        <v>-0.03687350408860911</v>
      </c>
      <c r="Q103" s="179">
        <f t="shared" si="71"/>
        <v>-0.03765634286616104</v>
      </c>
      <c r="R103" s="179">
        <f t="shared" si="71"/>
        <v>-0.03976575538371982</v>
      </c>
      <c r="S103" s="179">
        <f t="shared" si="71"/>
        <v>-0.043304286102411965</v>
      </c>
      <c r="T103" s="179">
        <f t="shared" si="71"/>
        <v>-0.048546595151197795</v>
      </c>
      <c r="U103" s="179">
        <f t="shared" si="71"/>
        <v>-0.05623198968160357</v>
      </c>
      <c r="V103" s="179">
        <f t="shared" si="71"/>
        <v>-0.06788425815511819</v>
      </c>
      <c r="W103" s="179">
        <f t="shared" si="71"/>
        <v>-0.08563651804218726</v>
      </c>
      <c r="X103" s="179">
        <f t="shared" si="71"/>
        <v>-0.1077589577810866</v>
      </c>
      <c r="Y103" s="179">
        <f t="shared" si="71"/>
        <v>-0.10501607763114859</v>
      </c>
      <c r="Z103" s="179">
        <f t="shared" si="71"/>
        <v>0.02196570872042533</v>
      </c>
    </row>
    <row r="104" spans="1:26" s="1" customFormat="1" ht="15">
      <c r="A104" s="136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</row>
    <row r="105" spans="1:26" s="1" customFormat="1" ht="15">
      <c r="A105" s="241" t="s">
        <v>87</v>
      </c>
      <c r="B105" s="185"/>
      <c r="C105" s="185"/>
      <c r="D105" s="185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</row>
    <row r="106" spans="1:26" s="186" customFormat="1" ht="15">
      <c r="A106" s="60" t="s">
        <v>89</v>
      </c>
      <c r="B106" s="5">
        <f aca="true" t="shared" si="72" ref="B106:G106">(-SIGN($B$15))*(($D$16*B72+$B$16*B73+$B$15)/SQRT($D$16^2+$B$16^2))</f>
        <v>-1.9896159144132397</v>
      </c>
      <c r="C106" s="5">
        <f t="shared" si="72"/>
        <v>-2.202396982545736</v>
      </c>
      <c r="D106" s="5">
        <f t="shared" si="72"/>
        <v>-2.3017635600921134</v>
      </c>
      <c r="E106" s="5">
        <f t="shared" si="72"/>
        <v>-2.2315630731965728</v>
      </c>
      <c r="F106" s="5">
        <f t="shared" si="72"/>
        <v>-2.0510082587137606</v>
      </c>
      <c r="G106" s="5">
        <f t="shared" si="72"/>
        <v>-1.826295445932784</v>
      </c>
      <c r="H106" s="5">
        <f aca="true" t="shared" si="73" ref="H106:Z106">(-SIGN($B$15))*(($D$16*H72+$B$16*H73+$B$15)/SQRT($D$16^2+$B$16^2))</f>
        <v>-1.5987475884307814</v>
      </c>
      <c r="I106" s="5">
        <f t="shared" si="73"/>
        <v>-1.3929518426780367</v>
      </c>
      <c r="J106" s="5">
        <f t="shared" si="73"/>
        <v>-1.2242947669758752</v>
      </c>
      <c r="K106" s="5">
        <f t="shared" si="73"/>
        <v>-1.1021149059987743</v>
      </c>
      <c r="L106" s="5">
        <f t="shared" si="73"/>
        <v>-1.0307822632052939</v>
      </c>
      <c r="M106" s="5">
        <f t="shared" si="73"/>
        <v>-1.0101284377068265</v>
      </c>
      <c r="N106" s="5">
        <f t="shared" si="73"/>
        <v>-1.0358238717477395</v>
      </c>
      <c r="O106" s="5">
        <f t="shared" si="73"/>
        <v>-1.0999249919439928</v>
      </c>
      <c r="P106" s="5">
        <f t="shared" si="73"/>
        <v>-1.1916589922538792</v>
      </c>
      <c r="Q106" s="5">
        <f t="shared" si="73"/>
        <v>-1.2984486597531586</v>
      </c>
      <c r="R106" s="5">
        <f t="shared" si="73"/>
        <v>-1.4071553304171982</v>
      </c>
      <c r="S106" s="5">
        <f t="shared" si="73"/>
        <v>-1.5055211422694863</v>
      </c>
      <c r="T106" s="5">
        <f t="shared" si="73"/>
        <v>-1.5838252880609265</v>
      </c>
      <c r="U106" s="5">
        <f t="shared" si="73"/>
        <v>-1.636847513454083</v>
      </c>
      <c r="V106" s="5">
        <f t="shared" si="73"/>
        <v>-1.6663722186351508</v>
      </c>
      <c r="W106" s="5">
        <f t="shared" si="73"/>
        <v>-1.6846065635420964</v>
      </c>
      <c r="X106" s="5">
        <f t="shared" si="73"/>
        <v>-1.7183937931365996</v>
      </c>
      <c r="Y106" s="5">
        <f t="shared" si="73"/>
        <v>-1.8095951049767605</v>
      </c>
      <c r="Z106" s="5">
        <f t="shared" si="73"/>
        <v>-1.9896159144132404</v>
      </c>
    </row>
    <row r="107" spans="1:26" s="186" customFormat="1" ht="15">
      <c r="A107" s="60" t="s">
        <v>90</v>
      </c>
      <c r="B107" s="5">
        <f>(-SIGN($B$15))*($D$16*B74+$B$16*B75+$B$15)/SQRT($D$16^2+$B$16^2)</f>
        <v>-1.3753138530491584</v>
      </c>
      <c r="C107" s="5">
        <f aca="true" t="shared" si="74" ref="C107:Z107">(-SIGN($B$15))*($D$16*C74+$B$16*C75+$B$15)/SQRT($D$16^2+$B$16^2)</f>
        <v>-1.2302078231451696</v>
      </c>
      <c r="D107" s="5">
        <f t="shared" si="74"/>
        <v>-0.5837848204529852</v>
      </c>
      <c r="E107" s="5">
        <f t="shared" si="74"/>
        <v>-0.08535921861585835</v>
      </c>
      <c r="F107" s="5">
        <f t="shared" si="74"/>
        <v>0.04655416593712057</v>
      </c>
      <c r="G107" s="5">
        <f t="shared" si="74"/>
        <v>0.02185690127686835</v>
      </c>
      <c r="H107" s="5">
        <f t="shared" si="74"/>
        <v>-0.04740469994385341</v>
      </c>
      <c r="I107" s="5">
        <f t="shared" si="74"/>
        <v>-0.13823952003544834</v>
      </c>
      <c r="J107" s="5">
        <f t="shared" si="74"/>
        <v>-0.2435572939111396</v>
      </c>
      <c r="K107" s="5">
        <f t="shared" si="74"/>
        <v>-0.35443792867920176</v>
      </c>
      <c r="L107" s="5">
        <f t="shared" si="74"/>
        <v>-0.4601587118656785</v>
      </c>
      <c r="M107" s="5">
        <f t="shared" si="74"/>
        <v>-0.5519681595624623</v>
      </c>
      <c r="N107" s="5">
        <f t="shared" si="74"/>
        <v>-0.6258534331373528</v>
      </c>
      <c r="O107" s="5">
        <f t="shared" si="74"/>
        <v>-0.6826343614522984</v>
      </c>
      <c r="P107" s="5">
        <f t="shared" si="74"/>
        <v>-0.7251080088626738</v>
      </c>
      <c r="Q107" s="5">
        <f t="shared" si="74"/>
        <v>-0.7538249474633857</v>
      </c>
      <c r="R107" s="5">
        <f t="shared" si="74"/>
        <v>-0.764995696126714</v>
      </c>
      <c r="S107" s="5">
        <f t="shared" si="74"/>
        <v>-0.7528638693169553</v>
      </c>
      <c r="T107" s="5">
        <f t="shared" si="74"/>
        <v>-0.71520100478592</v>
      </c>
      <c r="U107" s="5">
        <f t="shared" si="74"/>
        <v>-0.6595734708004524</v>
      </c>
      <c r="V107" s="5">
        <f t="shared" si="74"/>
        <v>-0.6097874657095271</v>
      </c>
      <c r="W107" s="5">
        <f t="shared" si="74"/>
        <v>-0.6126457118795379</v>
      </c>
      <c r="X107" s="5">
        <f t="shared" si="74"/>
        <v>-0.7395332759309572</v>
      </c>
      <c r="Y107" s="5">
        <f t="shared" si="74"/>
        <v>-1.04552569528547</v>
      </c>
      <c r="Z107" s="5">
        <f t="shared" si="74"/>
        <v>-1.3820282997559274</v>
      </c>
    </row>
    <row r="108" spans="1:26" s="186" customFormat="1" ht="15">
      <c r="A108" s="60" t="s">
        <v>91</v>
      </c>
      <c r="B108" s="5">
        <f>(-SIGN($B$15))*($D$16*B76+$B$16*B77+$B$15)/SQRT($D$16^2+$B$16^2)</f>
        <v>-1.194263318548615</v>
      </c>
      <c r="C108" s="5">
        <f aca="true" t="shared" si="75" ref="C108:Z108">(-SIGN($B$15))*($D$16*C76+$B$16*C77+$B$15)/SQRT($D$16^2+$B$16^2)</f>
        <v>1.3337894820440508</v>
      </c>
      <c r="D108" s="5">
        <f t="shared" si="75"/>
        <v>1.9814146759641564</v>
      </c>
      <c r="E108" s="5">
        <f t="shared" si="75"/>
        <v>0.4231568602831027</v>
      </c>
      <c r="F108" s="5">
        <f t="shared" si="75"/>
        <v>-0.423145745703512</v>
      </c>
      <c r="G108" s="5">
        <f t="shared" si="75"/>
        <v>-0.6429010566678995</v>
      </c>
      <c r="H108" s="5">
        <f t="shared" si="75"/>
        <v>-0.7174894246841969</v>
      </c>
      <c r="I108" s="5">
        <f t="shared" si="75"/>
        <v>-0.7572554270303699</v>
      </c>
      <c r="J108" s="5">
        <f t="shared" si="75"/>
        <v>-0.7726671931776506</v>
      </c>
      <c r="K108" s="5">
        <f t="shared" si="75"/>
        <v>-0.7623675512234654</v>
      </c>
      <c r="L108" s="5">
        <f t="shared" si="75"/>
        <v>-0.7321579053711748</v>
      </c>
      <c r="M108" s="5">
        <f t="shared" si="75"/>
        <v>-0.6940917694971809</v>
      </c>
      <c r="N108" s="5">
        <f t="shared" si="75"/>
        <v>-0.6598629353396857</v>
      </c>
      <c r="O108" s="5">
        <f t="shared" si="75"/>
        <v>-0.6347806411275853</v>
      </c>
      <c r="P108" s="5">
        <f t="shared" si="75"/>
        <v>-0.6153237709851774</v>
      </c>
      <c r="Q108" s="5">
        <f t="shared" si="75"/>
        <v>-0.5910815604301074</v>
      </c>
      <c r="R108" s="5">
        <f t="shared" si="75"/>
        <v>-0.5505612186531323</v>
      </c>
      <c r="S108" s="5">
        <f t="shared" si="75"/>
        <v>-0.4894776042009883</v>
      </c>
      <c r="T108" s="5">
        <f t="shared" si="75"/>
        <v>-0.41993611222363825</v>
      </c>
      <c r="U108" s="5">
        <f t="shared" si="75"/>
        <v>-0.37969956374869407</v>
      </c>
      <c r="V108" s="5">
        <f t="shared" si="75"/>
        <v>-0.4413946087619026</v>
      </c>
      <c r="W108" s="5">
        <f t="shared" si="75"/>
        <v>-0.7161233563296934</v>
      </c>
      <c r="X108" s="5">
        <f t="shared" si="75"/>
        <v>-1.3014017289436457</v>
      </c>
      <c r="Y108" s="5">
        <f t="shared" si="75"/>
        <v>-1.9440528154875383</v>
      </c>
      <c r="Z108" s="5">
        <f t="shared" si="75"/>
        <v>-1.2719717062919857</v>
      </c>
    </row>
    <row r="109" spans="1:26" s="186" customFormat="1" ht="15">
      <c r="A109" s="61" t="s">
        <v>138</v>
      </c>
      <c r="B109" s="5">
        <f>B106/$D$7</f>
        <v>-0.6632053048044132</v>
      </c>
      <c r="C109" s="5">
        <f aca="true" t="shared" si="76" ref="C109:Z109">C106/$D$7</f>
        <v>-0.7341323275152454</v>
      </c>
      <c r="D109" s="5">
        <f t="shared" si="76"/>
        <v>-0.7672545200307045</v>
      </c>
      <c r="E109" s="5">
        <f t="shared" si="76"/>
        <v>-0.7438543577321909</v>
      </c>
      <c r="F109" s="5">
        <f t="shared" si="76"/>
        <v>-0.6836694195712535</v>
      </c>
      <c r="G109" s="5">
        <f t="shared" si="76"/>
        <v>-0.6087651486442613</v>
      </c>
      <c r="H109" s="5">
        <f t="shared" si="76"/>
        <v>-0.5329158628102605</v>
      </c>
      <c r="I109" s="5">
        <f t="shared" si="76"/>
        <v>-0.46431728089267893</v>
      </c>
      <c r="J109" s="5">
        <f t="shared" si="76"/>
        <v>-0.40809825565862506</v>
      </c>
      <c r="K109" s="5">
        <f t="shared" si="76"/>
        <v>-0.3673716353329248</v>
      </c>
      <c r="L109" s="5">
        <f t="shared" si="76"/>
        <v>-0.343594087735098</v>
      </c>
      <c r="M109" s="5">
        <f t="shared" si="76"/>
        <v>-0.33670947923560884</v>
      </c>
      <c r="N109" s="5">
        <f t="shared" si="76"/>
        <v>-0.3452746239159132</v>
      </c>
      <c r="O109" s="5">
        <f t="shared" si="76"/>
        <v>-0.36664166398133097</v>
      </c>
      <c r="P109" s="5">
        <f t="shared" si="76"/>
        <v>-0.3972196640846264</v>
      </c>
      <c r="Q109" s="5">
        <f t="shared" si="76"/>
        <v>-0.4328162199177195</v>
      </c>
      <c r="R109" s="5">
        <f t="shared" si="76"/>
        <v>-0.46905177680573273</v>
      </c>
      <c r="S109" s="5">
        <f t="shared" si="76"/>
        <v>-0.5018403807564954</v>
      </c>
      <c r="T109" s="5">
        <f t="shared" si="76"/>
        <v>-0.5279417626869755</v>
      </c>
      <c r="U109" s="5">
        <f t="shared" si="76"/>
        <v>-0.5456158378180277</v>
      </c>
      <c r="V109" s="5">
        <f t="shared" si="76"/>
        <v>-0.5554574062117169</v>
      </c>
      <c r="W109" s="5">
        <f t="shared" si="76"/>
        <v>-0.5615355211806988</v>
      </c>
      <c r="X109" s="5">
        <f t="shared" si="76"/>
        <v>-0.5727979310455332</v>
      </c>
      <c r="Y109" s="5">
        <f t="shared" si="76"/>
        <v>-0.6031983683255868</v>
      </c>
      <c r="Z109" s="5">
        <f t="shared" si="76"/>
        <v>-0.6632053048044134</v>
      </c>
    </row>
    <row r="110" spans="1:26" s="186" customFormat="1" ht="15">
      <c r="A110" s="61" t="s">
        <v>139</v>
      </c>
      <c r="B110" s="5">
        <f>ASIN(B109)</f>
        <v>-0.7250933401254007</v>
      </c>
      <c r="C110" s="5">
        <f aca="true" t="shared" si="77" ref="C110:Z110">ASIN(C109)</f>
        <v>-0.8243879405984003</v>
      </c>
      <c r="D110" s="5">
        <f t="shared" si="77"/>
        <v>-0.8745492891237773</v>
      </c>
      <c r="E110" s="5">
        <f t="shared" si="77"/>
        <v>-0.8388190455978368</v>
      </c>
      <c r="F110" s="5">
        <f t="shared" si="77"/>
        <v>-0.7527789053027584</v>
      </c>
      <c r="G110" s="5">
        <f t="shared" si="77"/>
        <v>-0.6545031580042966</v>
      </c>
      <c r="H110" s="5">
        <f t="shared" si="77"/>
        <v>-0.5620428019859328</v>
      </c>
      <c r="I110" s="5">
        <f t="shared" si="77"/>
        <v>-0.48286360395451516</v>
      </c>
      <c r="J110" s="5">
        <f t="shared" si="77"/>
        <v>-0.42036998642848755</v>
      </c>
      <c r="K110" s="5">
        <f t="shared" si="77"/>
        <v>-0.3761814649436466</v>
      </c>
      <c r="L110" s="5">
        <f t="shared" si="77"/>
        <v>-0.35074131870580527</v>
      </c>
      <c r="M110" s="5">
        <f t="shared" si="77"/>
        <v>-0.3434201303315312</v>
      </c>
      <c r="N110" s="5">
        <f t="shared" si="77"/>
        <v>-0.3525313888720095</v>
      </c>
      <c r="O110" s="5">
        <f t="shared" si="77"/>
        <v>-0.3753967336983464</v>
      </c>
      <c r="P110" s="5">
        <f t="shared" si="77"/>
        <v>-0.40848525177974626</v>
      </c>
      <c r="Q110" s="5">
        <f t="shared" si="77"/>
        <v>-0.44761443115889815</v>
      </c>
      <c r="R110" s="5">
        <f t="shared" si="77"/>
        <v>-0.4882168135903963</v>
      </c>
      <c r="S110" s="5">
        <f t="shared" si="77"/>
        <v>-0.5257251711119212</v>
      </c>
      <c r="T110" s="5">
        <f t="shared" si="77"/>
        <v>-0.5561752277829539</v>
      </c>
      <c r="U110" s="5">
        <f t="shared" si="77"/>
        <v>-0.5771237980340667</v>
      </c>
      <c r="V110" s="5">
        <f t="shared" si="77"/>
        <v>-0.5889129330507399</v>
      </c>
      <c r="W110" s="5">
        <f t="shared" si="77"/>
        <v>-0.5962403549757209</v>
      </c>
      <c r="X110" s="5">
        <f t="shared" si="77"/>
        <v>-0.6099151745718578</v>
      </c>
      <c r="Y110" s="5">
        <f t="shared" si="77"/>
        <v>-0.6475050918458973</v>
      </c>
      <c r="Z110" s="5">
        <f t="shared" si="77"/>
        <v>-0.7250933401254008</v>
      </c>
    </row>
    <row r="111" spans="1:26" s="186" customFormat="1" ht="15">
      <c r="A111" s="61" t="s">
        <v>93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186" customFormat="1" ht="15">
      <c r="A112" s="61" t="s">
        <v>95</v>
      </c>
      <c r="B112" s="5">
        <f aca="true" t="shared" si="78" ref="B112:H112">B107/($D$7*COS(B110))</f>
        <v>-0.6125266809989387</v>
      </c>
      <c r="C112" s="5">
        <f t="shared" si="78"/>
        <v>-0.6039254697137835</v>
      </c>
      <c r="D112" s="5">
        <f t="shared" si="78"/>
        <v>-0.30341801670522817</v>
      </c>
      <c r="E112" s="5">
        <f t="shared" si="78"/>
        <v>-0.04257264024256082</v>
      </c>
      <c r="F112" s="5">
        <f t="shared" si="78"/>
        <v>0.02126367346753658</v>
      </c>
      <c r="G112" s="5">
        <f t="shared" si="78"/>
        <v>0.009183373410112024</v>
      </c>
      <c r="H112" s="5">
        <f t="shared" si="78"/>
        <v>-0.01867426119374969</v>
      </c>
      <c r="I112" s="5">
        <f aca="true" t="shared" si="79" ref="I112:Z112">I107/($D$7*COS(I110))</f>
        <v>-0.05202828978613229</v>
      </c>
      <c r="J112" s="5">
        <f t="shared" si="79"/>
        <v>-0.08892801435714445</v>
      </c>
      <c r="K112" s="5">
        <f t="shared" si="79"/>
        <v>-0.1270285444458661</v>
      </c>
      <c r="L112" s="5">
        <f t="shared" si="79"/>
        <v>-0.1633300555603298</v>
      </c>
      <c r="M112" s="5">
        <f t="shared" si="79"/>
        <v>-0.1953990113619574</v>
      </c>
      <c r="N112" s="5">
        <f t="shared" si="79"/>
        <v>-0.22228815552900144</v>
      </c>
      <c r="O112" s="5">
        <f t="shared" si="79"/>
        <v>-0.2445765513026819</v>
      </c>
      <c r="P112" s="5">
        <f t="shared" si="79"/>
        <v>-0.2633719774791225</v>
      </c>
      <c r="Q112" s="5">
        <f t="shared" si="79"/>
        <v>-0.27873538515756396</v>
      </c>
      <c r="R112" s="5">
        <f t="shared" si="79"/>
        <v>-0.28873079044735717</v>
      </c>
      <c r="S112" s="5">
        <f t="shared" si="79"/>
        <v>-0.2901342846840576</v>
      </c>
      <c r="T112" s="5">
        <f t="shared" si="79"/>
        <v>-0.2807085690211721</v>
      </c>
      <c r="U112" s="5">
        <f t="shared" si="79"/>
        <v>-0.26234908400167534</v>
      </c>
      <c r="V112" s="5">
        <f t="shared" si="79"/>
        <v>-0.24443955659541086</v>
      </c>
      <c r="W112" s="5">
        <f t="shared" si="79"/>
        <v>-0.246799912597421</v>
      </c>
      <c r="X112" s="5">
        <f t="shared" si="79"/>
        <v>-0.30073455151991785</v>
      </c>
      <c r="Y112" s="5">
        <f t="shared" si="79"/>
        <v>-0.4369513648288844</v>
      </c>
      <c r="Z112" s="5">
        <f t="shared" si="79"/>
        <v>-0.6155171095087099</v>
      </c>
    </row>
    <row r="113" spans="1:26" s="186" customFormat="1" ht="15">
      <c r="A113" s="61" t="s">
        <v>96</v>
      </c>
      <c r="B113" s="5">
        <f aca="true" t="shared" si="80" ref="B113:H113">B108/($D$7*COS(B110))</f>
        <v>-0.5318917897376945</v>
      </c>
      <c r="C113" s="5">
        <f t="shared" si="80"/>
        <v>0.654775091076383</v>
      </c>
      <c r="D113" s="5">
        <f t="shared" si="80"/>
        <v>1.029826213681234</v>
      </c>
      <c r="E113" s="5">
        <f t="shared" si="80"/>
        <v>0.21104814536876781</v>
      </c>
      <c r="F113" s="5">
        <f t="shared" si="80"/>
        <v>-0.19327234812819125</v>
      </c>
      <c r="G113" s="5">
        <f t="shared" si="80"/>
        <v>-0.2701206540830767</v>
      </c>
      <c r="H113" s="5">
        <f t="shared" si="80"/>
        <v>-0.2826425425364005</v>
      </c>
      <c r="I113" s="5">
        <f aca="true" t="shared" si="81" ref="I113:Z113">I108/($D$7*COS(I110))</f>
        <v>-0.2850031943799758</v>
      </c>
      <c r="J113" s="5">
        <f t="shared" si="81"/>
        <v>-0.2821174358804696</v>
      </c>
      <c r="K113" s="5">
        <f t="shared" si="81"/>
        <v>-0.2732282087460431</v>
      </c>
      <c r="L113" s="5">
        <f t="shared" si="81"/>
        <v>-0.2598742309547219</v>
      </c>
      <c r="M113" s="5">
        <f t="shared" si="81"/>
        <v>-0.2457113570857579</v>
      </c>
      <c r="N113" s="5">
        <f t="shared" si="81"/>
        <v>-0.23436751646997908</v>
      </c>
      <c r="O113" s="5">
        <f t="shared" si="81"/>
        <v>-0.22743135829024483</v>
      </c>
      <c r="P113" s="5">
        <f t="shared" si="81"/>
        <v>-0.2234964120841324</v>
      </c>
      <c r="Q113" s="5">
        <f t="shared" si="81"/>
        <v>-0.21855915880791715</v>
      </c>
      <c r="R113" s="5">
        <f t="shared" si="81"/>
        <v>-0.20779721592714467</v>
      </c>
      <c r="S113" s="5">
        <f t="shared" si="81"/>
        <v>-0.18863202280189661</v>
      </c>
      <c r="T113" s="5">
        <f t="shared" si="81"/>
        <v>-0.16482032932531543</v>
      </c>
      <c r="U113" s="5">
        <f t="shared" si="81"/>
        <v>-0.1510276521953122</v>
      </c>
      <c r="V113" s="5">
        <f t="shared" si="81"/>
        <v>-0.17693755368326952</v>
      </c>
      <c r="W113" s="5">
        <f t="shared" si="81"/>
        <v>-0.2884851363913433</v>
      </c>
      <c r="X113" s="5">
        <f t="shared" si="81"/>
        <v>-0.5292208992332779</v>
      </c>
      <c r="Y113" s="5">
        <f t="shared" si="81"/>
        <v>-0.81246834473521</v>
      </c>
      <c r="Z113" s="5">
        <f t="shared" si="81"/>
        <v>-0.5665009523842399</v>
      </c>
    </row>
    <row r="114" spans="1:26" s="186" customFormat="1" ht="15">
      <c r="A114" s="61" t="s">
        <v>97</v>
      </c>
      <c r="B114" s="5">
        <f aca="true" t="shared" si="82" ref="B114:H114">B112*SIN(B110)*(B107/($D$7*COS(B110)^2))</f>
        <v>-0.3324623429280501</v>
      </c>
      <c r="C114" s="5">
        <f t="shared" si="82"/>
        <v>-0.39433666226964054</v>
      </c>
      <c r="D114" s="5">
        <f t="shared" si="82"/>
        <v>-0.11013668684639145</v>
      </c>
      <c r="E114" s="5">
        <f t="shared" si="82"/>
        <v>-0.002017207108235232</v>
      </c>
      <c r="F114" s="5">
        <f t="shared" si="82"/>
        <v>-0.0004235685851700974</v>
      </c>
      <c r="G114" s="5">
        <f t="shared" si="82"/>
        <v>-6.471264882561838E-05</v>
      </c>
      <c r="H114" s="5">
        <f t="shared" si="82"/>
        <v>-0.00021962854636800515</v>
      </c>
      <c r="I114" s="5">
        <f aca="true" t="shared" si="83" ref="I114:Z114">I112*SIN(I110)*(I107/($D$7*COS(I110)^2))</f>
        <v>-0.0014191311614012905</v>
      </c>
      <c r="J114" s="5">
        <f t="shared" si="83"/>
        <v>-0.0035350913327290767</v>
      </c>
      <c r="K114" s="5">
        <f t="shared" si="83"/>
        <v>-0.006373685816441782</v>
      </c>
      <c r="L114" s="5">
        <f t="shared" si="83"/>
        <v>-0.009760175294664868</v>
      </c>
      <c r="M114" s="5">
        <f t="shared" si="83"/>
        <v>-0.013653049281628147</v>
      </c>
      <c r="N114" s="5">
        <f t="shared" si="83"/>
        <v>-0.018178675755363968</v>
      </c>
      <c r="O114" s="5">
        <f t="shared" si="83"/>
        <v>-0.023573245285583945</v>
      </c>
      <c r="P114" s="5">
        <f t="shared" si="83"/>
        <v>-0.030023269612521896</v>
      </c>
      <c r="Q114" s="5">
        <f t="shared" si="83"/>
        <v>-0.0373018690050452</v>
      </c>
      <c r="R114" s="5">
        <f t="shared" si="83"/>
        <v>-0.04427538514826195</v>
      </c>
      <c r="S114" s="5">
        <f t="shared" si="83"/>
        <v>-0.04883908944894275</v>
      </c>
      <c r="T114" s="5">
        <f t="shared" si="83"/>
        <v>-0.04898308881503027</v>
      </c>
      <c r="U114" s="5">
        <f t="shared" si="83"/>
        <v>-0.04481090348494608</v>
      </c>
      <c r="V114" s="5">
        <f t="shared" si="83"/>
        <v>-0.0399124130276629</v>
      </c>
      <c r="W114" s="5">
        <f t="shared" si="83"/>
        <v>-0.041335585638356966</v>
      </c>
      <c r="X114" s="5">
        <f t="shared" si="83"/>
        <v>-0.06319969128311388</v>
      </c>
      <c r="Y114" s="5">
        <f t="shared" si="83"/>
        <v>-0.14439295448005365</v>
      </c>
      <c r="Z114" s="5">
        <f t="shared" si="83"/>
        <v>-0.335716509034336</v>
      </c>
    </row>
    <row r="115" spans="1:26" s="186" customFormat="1" ht="15">
      <c r="A115" s="61" t="s">
        <v>94</v>
      </c>
      <c r="B115" s="5">
        <f aca="true" t="shared" si="84" ref="B115:H115">B113+B114</f>
        <v>-0.8643541326657446</v>
      </c>
      <c r="C115" s="5">
        <f t="shared" si="84"/>
        <v>0.26043842880674245</v>
      </c>
      <c r="D115" s="5">
        <f t="shared" si="84"/>
        <v>0.9196895268348425</v>
      </c>
      <c r="E115" s="5">
        <f t="shared" si="84"/>
        <v>0.2090309382605326</v>
      </c>
      <c r="F115" s="5">
        <f t="shared" si="84"/>
        <v>-0.19369591671336134</v>
      </c>
      <c r="G115" s="5">
        <f t="shared" si="84"/>
        <v>-0.2701853667319023</v>
      </c>
      <c r="H115" s="5">
        <f t="shared" si="84"/>
        <v>-0.28286217108276845</v>
      </c>
      <c r="I115" s="5">
        <f aca="true" t="shared" si="85" ref="I115:Z115">I113+I114</f>
        <v>-0.2864223255413771</v>
      </c>
      <c r="J115" s="5">
        <f t="shared" si="85"/>
        <v>-0.28565252721319867</v>
      </c>
      <c r="K115" s="5">
        <f t="shared" si="85"/>
        <v>-0.27960189456248485</v>
      </c>
      <c r="L115" s="5">
        <f t="shared" si="85"/>
        <v>-0.2696344062493868</v>
      </c>
      <c r="M115" s="5">
        <f t="shared" si="85"/>
        <v>-0.25936440636738606</v>
      </c>
      <c r="N115" s="5">
        <f t="shared" si="85"/>
        <v>-0.252546192225343</v>
      </c>
      <c r="O115" s="5">
        <f t="shared" si="85"/>
        <v>-0.25100460357582877</v>
      </c>
      <c r="P115" s="5">
        <f t="shared" si="85"/>
        <v>-0.2535196816966543</v>
      </c>
      <c r="Q115" s="5">
        <f t="shared" si="85"/>
        <v>-0.2558610278129624</v>
      </c>
      <c r="R115" s="5">
        <f t="shared" si="85"/>
        <v>-0.25207260107540663</v>
      </c>
      <c r="S115" s="5">
        <f t="shared" si="85"/>
        <v>-0.23747111225083936</v>
      </c>
      <c r="T115" s="5">
        <f t="shared" si="85"/>
        <v>-0.2138034181403457</v>
      </c>
      <c r="U115" s="5">
        <f t="shared" si="85"/>
        <v>-0.19583855568025826</v>
      </c>
      <c r="V115" s="5">
        <f t="shared" si="85"/>
        <v>-0.21684996671093243</v>
      </c>
      <c r="W115" s="5">
        <f t="shared" si="85"/>
        <v>-0.3298207220297003</v>
      </c>
      <c r="X115" s="5">
        <f t="shared" si="85"/>
        <v>-0.5924205905163917</v>
      </c>
      <c r="Y115" s="5">
        <f t="shared" si="85"/>
        <v>-0.9568612992152636</v>
      </c>
      <c r="Z115" s="5">
        <f t="shared" si="85"/>
        <v>-0.9022174614185758</v>
      </c>
    </row>
    <row r="116" spans="1:26" s="186" customFormat="1" ht="15">
      <c r="A116" s="6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186" customFormat="1" ht="15">
      <c r="A117" s="62" t="s">
        <v>98</v>
      </c>
      <c r="B117" s="5">
        <f>$D$15-B110</f>
        <v>1.5453980885627356</v>
      </c>
      <c r="C117" s="5">
        <f aca="true" t="shared" si="86" ref="C117:H117">$D$15-C110</f>
        <v>1.6446926890357352</v>
      </c>
      <c r="D117" s="5">
        <f t="shared" si="86"/>
        <v>1.6948540375611123</v>
      </c>
      <c r="E117" s="5">
        <f t="shared" si="86"/>
        <v>1.6591237940351717</v>
      </c>
      <c r="F117" s="5">
        <f t="shared" si="86"/>
        <v>1.5730836537400932</v>
      </c>
      <c r="G117" s="5">
        <f t="shared" si="86"/>
        <v>1.4748079064416315</v>
      </c>
      <c r="H117" s="5">
        <f t="shared" si="86"/>
        <v>1.3823475504232676</v>
      </c>
      <c r="I117" s="5">
        <f aca="true" t="shared" si="87" ref="I117:Z117">$D$15-I110</f>
        <v>1.30316835239185</v>
      </c>
      <c r="J117" s="5">
        <f t="shared" si="87"/>
        <v>1.2406747348658225</v>
      </c>
      <c r="K117" s="5">
        <f t="shared" si="87"/>
        <v>1.1964862133809815</v>
      </c>
      <c r="L117" s="5">
        <f t="shared" si="87"/>
        <v>1.1710460671431402</v>
      </c>
      <c r="M117" s="5">
        <f t="shared" si="87"/>
        <v>1.163724878768866</v>
      </c>
      <c r="N117" s="5">
        <f t="shared" si="87"/>
        <v>1.1728361373093446</v>
      </c>
      <c r="O117" s="5">
        <f t="shared" si="87"/>
        <v>1.1957014821356813</v>
      </c>
      <c r="P117" s="5">
        <f t="shared" si="87"/>
        <v>1.228790000217081</v>
      </c>
      <c r="Q117" s="5">
        <f t="shared" si="87"/>
        <v>1.267919179596233</v>
      </c>
      <c r="R117" s="5">
        <f t="shared" si="87"/>
        <v>1.3085215620277313</v>
      </c>
      <c r="S117" s="5">
        <f t="shared" si="87"/>
        <v>1.346029919549256</v>
      </c>
      <c r="T117" s="5">
        <f t="shared" si="87"/>
        <v>1.3764799762202888</v>
      </c>
      <c r="U117" s="5">
        <f t="shared" si="87"/>
        <v>1.3974285464714016</v>
      </c>
      <c r="V117" s="5">
        <f t="shared" si="87"/>
        <v>1.4092176814880748</v>
      </c>
      <c r="W117" s="5">
        <f t="shared" si="87"/>
        <v>1.4165451034130558</v>
      </c>
      <c r="X117" s="5">
        <f t="shared" si="87"/>
        <v>1.4302199230091928</v>
      </c>
      <c r="Y117" s="5">
        <f t="shared" si="87"/>
        <v>1.4678098402832322</v>
      </c>
      <c r="Z117" s="5">
        <f t="shared" si="87"/>
        <v>1.5453980885627359</v>
      </c>
    </row>
    <row r="118" spans="1:26" s="186" customFormat="1" ht="15">
      <c r="A118" s="62" t="s">
        <v>99</v>
      </c>
      <c r="B118" s="5">
        <f>-B112</f>
        <v>0.6125266809989387</v>
      </c>
      <c r="C118" s="5">
        <f aca="true" t="shared" si="88" ref="C118:H118">-C112</f>
        <v>0.6039254697137835</v>
      </c>
      <c r="D118" s="5">
        <f t="shared" si="88"/>
        <v>0.30341801670522817</v>
      </c>
      <c r="E118" s="5">
        <f t="shared" si="88"/>
        <v>0.04257264024256082</v>
      </c>
      <c r="F118" s="5">
        <f t="shared" si="88"/>
        <v>-0.02126367346753658</v>
      </c>
      <c r="G118" s="5">
        <f t="shared" si="88"/>
        <v>-0.009183373410112024</v>
      </c>
      <c r="H118" s="5">
        <f t="shared" si="88"/>
        <v>0.01867426119374969</v>
      </c>
      <c r="I118" s="5">
        <f aca="true" t="shared" si="89" ref="I118:Z118">-I112</f>
        <v>0.05202828978613229</v>
      </c>
      <c r="J118" s="5">
        <f t="shared" si="89"/>
        <v>0.08892801435714445</v>
      </c>
      <c r="K118" s="5">
        <f t="shared" si="89"/>
        <v>0.1270285444458661</v>
      </c>
      <c r="L118" s="5">
        <f t="shared" si="89"/>
        <v>0.1633300555603298</v>
      </c>
      <c r="M118" s="5">
        <f t="shared" si="89"/>
        <v>0.1953990113619574</v>
      </c>
      <c r="N118" s="5">
        <f t="shared" si="89"/>
        <v>0.22228815552900144</v>
      </c>
      <c r="O118" s="5">
        <f t="shared" si="89"/>
        <v>0.2445765513026819</v>
      </c>
      <c r="P118" s="5">
        <f t="shared" si="89"/>
        <v>0.2633719774791225</v>
      </c>
      <c r="Q118" s="5">
        <f t="shared" si="89"/>
        <v>0.27873538515756396</v>
      </c>
      <c r="R118" s="5">
        <f t="shared" si="89"/>
        <v>0.28873079044735717</v>
      </c>
      <c r="S118" s="5">
        <f t="shared" si="89"/>
        <v>0.2901342846840576</v>
      </c>
      <c r="T118" s="5">
        <f t="shared" si="89"/>
        <v>0.2807085690211721</v>
      </c>
      <c r="U118" s="5">
        <f t="shared" si="89"/>
        <v>0.26234908400167534</v>
      </c>
      <c r="V118" s="5">
        <f t="shared" si="89"/>
        <v>0.24443955659541086</v>
      </c>
      <c r="W118" s="5">
        <f t="shared" si="89"/>
        <v>0.246799912597421</v>
      </c>
      <c r="X118" s="5">
        <f t="shared" si="89"/>
        <v>0.30073455151991785</v>
      </c>
      <c r="Y118" s="5">
        <f t="shared" si="89"/>
        <v>0.4369513648288844</v>
      </c>
      <c r="Z118" s="5">
        <f t="shared" si="89"/>
        <v>0.6155171095087099</v>
      </c>
    </row>
    <row r="119" spans="1:26" s="186" customFormat="1" ht="15">
      <c r="A119" s="62" t="s">
        <v>100</v>
      </c>
      <c r="B119" s="5">
        <f>-B115</f>
        <v>0.8643541326657446</v>
      </c>
      <c r="C119" s="5">
        <f aca="true" t="shared" si="90" ref="C119:H119">-C115</f>
        <v>-0.26043842880674245</v>
      </c>
      <c r="D119" s="5">
        <f t="shared" si="90"/>
        <v>-0.9196895268348425</v>
      </c>
      <c r="E119" s="5">
        <f t="shared" si="90"/>
        <v>-0.2090309382605326</v>
      </c>
      <c r="F119" s="5">
        <f t="shared" si="90"/>
        <v>0.19369591671336134</v>
      </c>
      <c r="G119" s="5">
        <f t="shared" si="90"/>
        <v>0.2701853667319023</v>
      </c>
      <c r="H119" s="5">
        <f t="shared" si="90"/>
        <v>0.28286217108276845</v>
      </c>
      <c r="I119" s="5">
        <f aca="true" t="shared" si="91" ref="I119:Z119">-I115</f>
        <v>0.2864223255413771</v>
      </c>
      <c r="J119" s="5">
        <f t="shared" si="91"/>
        <v>0.28565252721319867</v>
      </c>
      <c r="K119" s="5">
        <f t="shared" si="91"/>
        <v>0.27960189456248485</v>
      </c>
      <c r="L119" s="5">
        <f t="shared" si="91"/>
        <v>0.2696344062493868</v>
      </c>
      <c r="M119" s="5">
        <f t="shared" si="91"/>
        <v>0.25936440636738606</v>
      </c>
      <c r="N119" s="5">
        <f t="shared" si="91"/>
        <v>0.252546192225343</v>
      </c>
      <c r="O119" s="5">
        <f t="shared" si="91"/>
        <v>0.25100460357582877</v>
      </c>
      <c r="P119" s="5">
        <f t="shared" si="91"/>
        <v>0.2535196816966543</v>
      </c>
      <c r="Q119" s="5">
        <f t="shared" si="91"/>
        <v>0.2558610278129624</v>
      </c>
      <c r="R119" s="5">
        <f t="shared" si="91"/>
        <v>0.25207260107540663</v>
      </c>
      <c r="S119" s="5">
        <f t="shared" si="91"/>
        <v>0.23747111225083936</v>
      </c>
      <c r="T119" s="5">
        <f t="shared" si="91"/>
        <v>0.2138034181403457</v>
      </c>
      <c r="U119" s="5">
        <f t="shared" si="91"/>
        <v>0.19583855568025826</v>
      </c>
      <c r="V119" s="5">
        <f t="shared" si="91"/>
        <v>0.21684996671093243</v>
      </c>
      <c r="W119" s="5">
        <f t="shared" si="91"/>
        <v>0.3298207220297003</v>
      </c>
      <c r="X119" s="5">
        <f t="shared" si="91"/>
        <v>0.5924205905163917</v>
      </c>
      <c r="Y119" s="5">
        <f t="shared" si="91"/>
        <v>0.9568612992152636</v>
      </c>
      <c r="Z119" s="5">
        <f t="shared" si="91"/>
        <v>0.9022174614185758</v>
      </c>
    </row>
    <row r="120" spans="1:26" s="186" customFormat="1" ht="15">
      <c r="A120" s="62" t="s">
        <v>107</v>
      </c>
      <c r="B120" s="5">
        <f>B117-$B$117</f>
        <v>0</v>
      </c>
      <c r="C120" s="5">
        <f aca="true" t="shared" si="92" ref="C120:H120">C117-$B$117</f>
        <v>0.09929460047299954</v>
      </c>
      <c r="D120" s="5">
        <f t="shared" si="92"/>
        <v>0.14945594899837666</v>
      </c>
      <c r="E120" s="5">
        <f t="shared" si="92"/>
        <v>0.1137257054724361</v>
      </c>
      <c r="F120" s="5">
        <f t="shared" si="92"/>
        <v>0.02768556517735754</v>
      </c>
      <c r="G120" s="5">
        <f t="shared" si="92"/>
        <v>-0.07059018212110413</v>
      </c>
      <c r="H120" s="5">
        <f t="shared" si="92"/>
        <v>-0.16305053813946802</v>
      </c>
      <c r="I120" s="5">
        <f aca="true" t="shared" si="93" ref="I120:Z120">I117-$B$117</f>
        <v>-0.2422297361708856</v>
      </c>
      <c r="J120" s="5">
        <f t="shared" si="93"/>
        <v>-0.30472335369691317</v>
      </c>
      <c r="K120" s="5">
        <f t="shared" si="93"/>
        <v>-0.34891187518175415</v>
      </c>
      <c r="L120" s="5">
        <f t="shared" si="93"/>
        <v>-0.37435202141959545</v>
      </c>
      <c r="M120" s="5">
        <f t="shared" si="93"/>
        <v>-0.38167320979386954</v>
      </c>
      <c r="N120" s="5">
        <f t="shared" si="93"/>
        <v>-0.3725619512533911</v>
      </c>
      <c r="O120" s="5">
        <f t="shared" si="93"/>
        <v>-0.34969660642705436</v>
      </c>
      <c r="P120" s="5">
        <f t="shared" si="93"/>
        <v>-0.31660808834565457</v>
      </c>
      <c r="Q120" s="5">
        <f t="shared" si="93"/>
        <v>-0.2774789089665026</v>
      </c>
      <c r="R120" s="5">
        <f t="shared" si="93"/>
        <v>-0.23687652653500435</v>
      </c>
      <c r="S120" s="5">
        <f t="shared" si="93"/>
        <v>-0.19936816901347965</v>
      </c>
      <c r="T120" s="5">
        <f t="shared" si="93"/>
        <v>-0.1689181123424468</v>
      </c>
      <c r="U120" s="5">
        <f t="shared" si="93"/>
        <v>-0.14796954209133406</v>
      </c>
      <c r="V120" s="5">
        <f t="shared" si="93"/>
        <v>-0.13618040707466084</v>
      </c>
      <c r="W120" s="5">
        <f t="shared" si="93"/>
        <v>-0.1288529851496798</v>
      </c>
      <c r="X120" s="5">
        <f t="shared" si="93"/>
        <v>-0.11517816555354288</v>
      </c>
      <c r="Y120" s="5">
        <f t="shared" si="93"/>
        <v>-0.07758824827950339</v>
      </c>
      <c r="Z120" s="5">
        <f t="shared" si="93"/>
        <v>0</v>
      </c>
    </row>
    <row r="121" spans="1:26" s="1" customFormat="1" ht="15">
      <c r="A121" s="242" t="s">
        <v>140</v>
      </c>
      <c r="B121" s="187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</row>
    <row r="122" spans="1:26" s="163" customFormat="1" ht="15">
      <c r="A122" s="59" t="s">
        <v>101</v>
      </c>
      <c r="B122" s="164">
        <f>B72+($F$7-$F$6)*COS(B120)-($G$7-$G$6)*SIN(B120)</f>
        <v>2.877338089850433</v>
      </c>
      <c r="C122" s="164">
        <f aca="true" t="shared" si="94" ref="C122:Z122">C72+($F$7-$F$6)*COS(C120)-($G$7-$G$6)*SIN(C120)</f>
        <v>2.6946917905036707</v>
      </c>
      <c r="D122" s="164">
        <f t="shared" si="94"/>
        <v>2.4857749515274423</v>
      </c>
      <c r="E122" s="164">
        <f t="shared" si="94"/>
        <v>2.4023696503274317</v>
      </c>
      <c r="F122" s="164">
        <f t="shared" si="94"/>
        <v>2.4194857438926296</v>
      </c>
      <c r="G122" s="164">
        <f t="shared" si="94"/>
        <v>2.4615109051737623</v>
      </c>
      <c r="H122" s="164">
        <f t="shared" si="94"/>
        <v>2.4858567111070555</v>
      </c>
      <c r="I122" s="164">
        <f t="shared" si="94"/>
        <v>2.4778351039286064</v>
      </c>
      <c r="J122" s="164">
        <f t="shared" si="94"/>
        <v>2.437568505983152</v>
      </c>
      <c r="K122" s="164">
        <f t="shared" si="94"/>
        <v>2.3724471811181136</v>
      </c>
      <c r="L122" s="164">
        <f t="shared" si="94"/>
        <v>2.292917281741013</v>
      </c>
      <c r="M122" s="164">
        <f t="shared" si="94"/>
        <v>2.2099628744169277</v>
      </c>
      <c r="N122" s="164">
        <f t="shared" si="94"/>
        <v>2.1336626583823337</v>
      </c>
      <c r="O122" s="164">
        <f t="shared" si="94"/>
        <v>2.072554074086799</v>
      </c>
      <c r="P122" s="164">
        <f t="shared" si="94"/>
        <v>2.033571344033928</v>
      </c>
      <c r="Q122" s="164">
        <f t="shared" si="94"/>
        <v>2.0222771271239184</v>
      </c>
      <c r="R122" s="164">
        <f t="shared" si="94"/>
        <v>2.0430798710230738</v>
      </c>
      <c r="S122" s="164">
        <f t="shared" si="94"/>
        <v>2.099140187411662</v>
      </c>
      <c r="T122" s="164">
        <f t="shared" si="94"/>
        <v>2.191730083498908</v>
      </c>
      <c r="U122" s="164">
        <f t="shared" si="94"/>
        <v>2.3189577174340323</v>
      </c>
      <c r="V122" s="164">
        <f t="shared" si="94"/>
        <v>2.473978716499593</v>
      </c>
      <c r="W122" s="164">
        <f t="shared" si="94"/>
        <v>2.642726776545226</v>
      </c>
      <c r="X122" s="164">
        <f t="shared" si="94"/>
        <v>2.800047147863332</v>
      </c>
      <c r="Y122" s="164">
        <f t="shared" si="94"/>
        <v>2.9013782737768583</v>
      </c>
      <c r="Z122" s="164">
        <f t="shared" si="94"/>
        <v>2.877338089850433</v>
      </c>
    </row>
    <row r="123" spans="1:26" s="163" customFormat="1" ht="15">
      <c r="A123" s="59" t="s">
        <v>102</v>
      </c>
      <c r="B123" s="164">
        <f>B73+($F$7-$F$6)*SIN(B120)+($G$7-$G$6)*COS(B120)</f>
        <v>3.8855673357177922</v>
      </c>
      <c r="C123" s="164">
        <f aca="true" t="shared" si="95" ref="C123:Z123">C73+($F$7-$F$6)*SIN(C120)+($G$7-$G$6)*COS(C120)</f>
        <v>3.689703159296524</v>
      </c>
      <c r="D123" s="164">
        <f t="shared" si="95"/>
        <v>3.4656672781811526</v>
      </c>
      <c r="E123" s="164">
        <f t="shared" si="95"/>
        <v>3.3762260429240754</v>
      </c>
      <c r="F123" s="164">
        <f t="shared" si="95"/>
        <v>3.394580806101247</v>
      </c>
      <c r="G123" s="164">
        <f t="shared" si="95"/>
        <v>3.439647274092876</v>
      </c>
      <c r="H123" s="164">
        <f t="shared" si="95"/>
        <v>3.465754954596073</v>
      </c>
      <c r="I123" s="164">
        <f t="shared" si="95"/>
        <v>3.4571528340537947</v>
      </c>
      <c r="J123" s="164">
        <f t="shared" si="95"/>
        <v>3.413972194357945</v>
      </c>
      <c r="K123" s="164">
        <f t="shared" si="95"/>
        <v>3.3441381232173253</v>
      </c>
      <c r="L123" s="164">
        <f t="shared" si="95"/>
        <v>3.2588527476139117</v>
      </c>
      <c r="M123" s="164">
        <f t="shared" si="95"/>
        <v>3.16989503684092</v>
      </c>
      <c r="N123" s="164">
        <f t="shared" si="95"/>
        <v>3.088073072597299</v>
      </c>
      <c r="O123" s="164">
        <f t="shared" si="95"/>
        <v>3.022542138884861</v>
      </c>
      <c r="P123" s="164">
        <f t="shared" si="95"/>
        <v>2.9807382789448225</v>
      </c>
      <c r="Q123" s="164">
        <f t="shared" si="95"/>
        <v>2.9686267141262968</v>
      </c>
      <c r="R123" s="164">
        <f t="shared" si="95"/>
        <v>2.9909349257664086</v>
      </c>
      <c r="S123" s="164">
        <f t="shared" si="95"/>
        <v>3.051052254935614</v>
      </c>
      <c r="T123" s="164">
        <f t="shared" si="95"/>
        <v>3.1503427623640143</v>
      </c>
      <c r="U123" s="164">
        <f t="shared" si="95"/>
        <v>3.2867776960465163</v>
      </c>
      <c r="V123" s="164">
        <f t="shared" si="95"/>
        <v>3.453017364841188</v>
      </c>
      <c r="W123" s="164">
        <f t="shared" si="95"/>
        <v>3.633977504311493</v>
      </c>
      <c r="X123" s="164">
        <f t="shared" si="95"/>
        <v>3.8026829479624924</v>
      </c>
      <c r="Y123" s="164">
        <f t="shared" si="95"/>
        <v>3.9113472767437294</v>
      </c>
      <c r="Z123" s="164">
        <f t="shared" si="95"/>
        <v>3.8855673357177922</v>
      </c>
    </row>
    <row r="124" spans="1:26" s="163" customFormat="1" ht="15">
      <c r="A124" s="59" t="s">
        <v>103</v>
      </c>
      <c r="B124" s="164">
        <f aca="true" t="shared" si="96" ref="B124:Z124">B74-B118*(B123-B73)</f>
        <v>-1.1437422333898046</v>
      </c>
      <c r="C124" s="164">
        <f t="shared" si="96"/>
        <v>-1.6860055870652861</v>
      </c>
      <c r="D124" s="164">
        <f t="shared" si="96"/>
        <v>-1.425160227190829</v>
      </c>
      <c r="E124" s="164">
        <f t="shared" si="96"/>
        <v>-0.8771410308649065</v>
      </c>
      <c r="F124" s="164">
        <f t="shared" si="96"/>
        <v>-0.6361578192167654</v>
      </c>
      <c r="G124" s="164">
        <f t="shared" si="96"/>
        <v>-0.5927297335562697</v>
      </c>
      <c r="H124" s="164">
        <f t="shared" si="96"/>
        <v>-0.6128770477908352</v>
      </c>
      <c r="I124" s="164">
        <f t="shared" si="96"/>
        <v>-0.6478080799878083</v>
      </c>
      <c r="J124" s="164">
        <f t="shared" si="96"/>
        <v>-0.6772490545584176</v>
      </c>
      <c r="K124" s="164">
        <f t="shared" si="96"/>
        <v>-0.6920364882613299</v>
      </c>
      <c r="L124" s="164">
        <f t="shared" si="96"/>
        <v>-0.6907242959984667</v>
      </c>
      <c r="M124" s="164">
        <f t="shared" si="96"/>
        <v>-0.6771162515720002</v>
      </c>
      <c r="N124" s="164">
        <f t="shared" si="96"/>
        <v>-0.6567448391188164</v>
      </c>
      <c r="O124" s="164">
        <f t="shared" si="96"/>
        <v>-0.6332643220276701</v>
      </c>
      <c r="P124" s="164">
        <f t="shared" si="96"/>
        <v>-0.606025264624088</v>
      </c>
      <c r="Q124" s="164">
        <f t="shared" si="96"/>
        <v>-0.5698846499993133</v>
      </c>
      <c r="R124" s="164">
        <f t="shared" si="96"/>
        <v>-0.5175047082192885</v>
      </c>
      <c r="S124" s="164">
        <f t="shared" si="96"/>
        <v>-0.44308387479013966</v>
      </c>
      <c r="T124" s="164">
        <f t="shared" si="96"/>
        <v>-0.34639197064377636</v>
      </c>
      <c r="U124" s="164">
        <f t="shared" si="96"/>
        <v>-0.23688288630030174</v>
      </c>
      <c r="V124" s="164">
        <f t="shared" si="96"/>
        <v>-0.1376729603794069</v>
      </c>
      <c r="W124" s="164">
        <f t="shared" si="96"/>
        <v>-0.09029809010237833</v>
      </c>
      <c r="X124" s="164">
        <f t="shared" si="96"/>
        <v>-0.1665345718599145</v>
      </c>
      <c r="Y124" s="164">
        <f t="shared" si="96"/>
        <v>-0.48905268863203943</v>
      </c>
      <c r="Z124" s="164">
        <f t="shared" si="96"/>
        <v>-1.1471005585240364</v>
      </c>
    </row>
    <row r="125" spans="1:26" s="163" customFormat="1" ht="15">
      <c r="A125" s="59" t="s">
        <v>104</v>
      </c>
      <c r="B125" s="164">
        <f aca="true" t="shared" si="97" ref="B125:Z125">B75+B118*(B122-B72)</f>
        <v>-0.4265133834209744</v>
      </c>
      <c r="C125" s="164">
        <f t="shared" si="97"/>
        <v>-1.0080196364956084</v>
      </c>
      <c r="D125" s="164">
        <f t="shared" si="97"/>
        <v>-0.7282972344111129</v>
      </c>
      <c r="E125" s="164">
        <f t="shared" si="97"/>
        <v>-0.14061859577831992</v>
      </c>
      <c r="F125" s="164">
        <f t="shared" si="97"/>
        <v>0.11780426003440213</v>
      </c>
      <c r="G125" s="164">
        <f t="shared" si="97"/>
        <v>0.16437518023298925</v>
      </c>
      <c r="H125" s="164">
        <f t="shared" si="97"/>
        <v>0.14276983085680628</v>
      </c>
      <c r="I125" s="164">
        <f t="shared" si="97"/>
        <v>0.10531088491990762</v>
      </c>
      <c r="J125" s="164">
        <f t="shared" si="97"/>
        <v>0.07373930499775397</v>
      </c>
      <c r="K125" s="164">
        <f t="shared" si="97"/>
        <v>0.057881723793186346</v>
      </c>
      <c r="L125" s="164">
        <f t="shared" si="97"/>
        <v>0.059288877717417476</v>
      </c>
      <c r="M125" s="164">
        <f t="shared" si="97"/>
        <v>0.07388171876498578</v>
      </c>
      <c r="N125" s="164">
        <f t="shared" si="97"/>
        <v>0.09572738405878711</v>
      </c>
      <c r="O125" s="164">
        <f t="shared" si="97"/>
        <v>0.12090715588253242</v>
      </c>
      <c r="P125" s="164">
        <f t="shared" si="97"/>
        <v>0.15011746873269982</v>
      </c>
      <c r="Q125" s="164">
        <f t="shared" si="97"/>
        <v>0.18887353301736878</v>
      </c>
      <c r="R125" s="164">
        <f t="shared" si="97"/>
        <v>0.24504414361518173</v>
      </c>
      <c r="S125" s="164">
        <f t="shared" si="97"/>
        <v>0.32485071675856036</v>
      </c>
      <c r="T125" s="164">
        <f t="shared" si="97"/>
        <v>0.4285400892778259</v>
      </c>
      <c r="U125" s="164">
        <f t="shared" si="97"/>
        <v>0.545974204791222</v>
      </c>
      <c r="V125" s="164">
        <f t="shared" si="97"/>
        <v>0.6523638250726564</v>
      </c>
      <c r="W125" s="164">
        <f t="shared" si="97"/>
        <v>0.7031671535992202</v>
      </c>
      <c r="X125" s="164">
        <f t="shared" si="97"/>
        <v>0.621413536000071</v>
      </c>
      <c r="Y125" s="164">
        <f t="shared" si="97"/>
        <v>0.27555519915755683</v>
      </c>
      <c r="Z125" s="164">
        <f t="shared" si="97"/>
        <v>-0.43011474621301427</v>
      </c>
    </row>
    <row r="126" spans="1:26" s="163" customFormat="1" ht="15">
      <c r="A126" s="59" t="s">
        <v>105</v>
      </c>
      <c r="B126" s="164">
        <f aca="true" t="shared" si="98" ref="B126:Z126">B76-B119*(B123-B73)-B118^2*(B122-B72)</f>
        <v>-3.9615044002988657</v>
      </c>
      <c r="C126" s="164">
        <f t="shared" si="98"/>
        <v>-1.911701125756326</v>
      </c>
      <c r="D126" s="164">
        <f t="shared" si="98"/>
        <v>1.1388161694125487</v>
      </c>
      <c r="E126" s="164">
        <f t="shared" si="98"/>
        <v>0.5102092593291327</v>
      </c>
      <c r="F126" s="164">
        <f t="shared" si="98"/>
        <v>-0.41526189334100594</v>
      </c>
      <c r="G126" s="164">
        <f t="shared" si="98"/>
        <v>-0.6755402870060013</v>
      </c>
      <c r="H126" s="164">
        <f t="shared" si="98"/>
        <v>-0.7156064959225937</v>
      </c>
      <c r="I126" s="164">
        <f t="shared" si="98"/>
        <v>-0.6932133428951219</v>
      </c>
      <c r="J126" s="164">
        <f t="shared" si="98"/>
        <v>-0.6520929976393355</v>
      </c>
      <c r="K126" s="164">
        <f t="shared" si="98"/>
        <v>-0.6132391710747306</v>
      </c>
      <c r="L126" s="164">
        <f t="shared" si="98"/>
        <v>-0.5894452353114071</v>
      </c>
      <c r="M126" s="164">
        <f t="shared" si="98"/>
        <v>-0.5846645673758629</v>
      </c>
      <c r="N126" s="164">
        <f t="shared" si="98"/>
        <v>-0.5948237326883529</v>
      </c>
      <c r="O126" s="164">
        <f t="shared" si="98"/>
        <v>-0.6112563281256024</v>
      </c>
      <c r="P126" s="164">
        <f t="shared" si="98"/>
        <v>-0.6240079955262154</v>
      </c>
      <c r="Q126" s="164">
        <f t="shared" si="98"/>
        <v>-0.6235593628759017</v>
      </c>
      <c r="R126" s="164">
        <f t="shared" si="98"/>
        <v>-0.6022813684549057</v>
      </c>
      <c r="S126" s="164">
        <f t="shared" si="98"/>
        <v>-0.5583128290908135</v>
      </c>
      <c r="T126" s="164">
        <f t="shared" si="98"/>
        <v>-0.5033041084806266</v>
      </c>
      <c r="U126" s="164">
        <f t="shared" si="98"/>
        <v>-0.47208031255057115</v>
      </c>
      <c r="V126" s="164">
        <f t="shared" si="98"/>
        <v>-0.5307787242048413</v>
      </c>
      <c r="W126" s="164">
        <f t="shared" si="98"/>
        <v>-0.7907061745373377</v>
      </c>
      <c r="X126" s="164">
        <f t="shared" si="98"/>
        <v>-1.4531780252923394</v>
      </c>
      <c r="Y126" s="164">
        <f t="shared" si="98"/>
        <v>-2.780041916793154</v>
      </c>
      <c r="Z126" s="164">
        <f t="shared" si="98"/>
        <v>-4.04100464020525</v>
      </c>
    </row>
    <row r="127" spans="1:26" s="163" customFormat="1" ht="15">
      <c r="A127" s="59" t="s">
        <v>106</v>
      </c>
      <c r="B127" s="164">
        <f aca="true" t="shared" si="99" ref="B127:Z127">B77+B119*(B122-B72)-B118^2*(B123-B73)</f>
        <v>-3.4481933635055975</v>
      </c>
      <c r="C127" s="164">
        <f t="shared" si="99"/>
        <v>-1.2500484701800447</v>
      </c>
      <c r="D127" s="164">
        <f t="shared" si="99"/>
        <v>2.021230826548186</v>
      </c>
      <c r="E127" s="164">
        <f t="shared" si="99"/>
        <v>1.3471324452694309</v>
      </c>
      <c r="F127" s="164">
        <f t="shared" si="99"/>
        <v>0.35468613911549834</v>
      </c>
      <c r="G127" s="164">
        <f t="shared" si="99"/>
        <v>0.07557173385367044</v>
      </c>
      <c r="H127" s="164">
        <f t="shared" si="99"/>
        <v>0.032605985082205115</v>
      </c>
      <c r="I127" s="164">
        <f t="shared" si="99"/>
        <v>0.05661970170766032</v>
      </c>
      <c r="J127" s="164">
        <f t="shared" si="99"/>
        <v>0.10071587330537754</v>
      </c>
      <c r="K127" s="164">
        <f t="shared" si="99"/>
        <v>0.14238150117798562</v>
      </c>
      <c r="L127" s="164">
        <f t="shared" si="99"/>
        <v>0.1678973733789113</v>
      </c>
      <c r="M127" s="164">
        <f t="shared" si="99"/>
        <v>0.17302401208600687</v>
      </c>
      <c r="N127" s="164">
        <f t="shared" si="99"/>
        <v>0.16212964108492428</v>
      </c>
      <c r="O127" s="164">
        <f t="shared" si="99"/>
        <v>0.1445078399135237</v>
      </c>
      <c r="P127" s="164">
        <f t="shared" si="99"/>
        <v>0.13083335079246441</v>
      </c>
      <c r="Q127" s="164">
        <f t="shared" si="99"/>
        <v>0.1313144504089565</v>
      </c>
      <c r="R127" s="164">
        <f t="shared" si="99"/>
        <v>0.15413230583811216</v>
      </c>
      <c r="S127" s="164">
        <f t="shared" si="99"/>
        <v>0.2012827916776535</v>
      </c>
      <c r="T127" s="164">
        <f t="shared" si="99"/>
        <v>0.2602724224385077</v>
      </c>
      <c r="U127" s="164">
        <f t="shared" si="99"/>
        <v>0.2937558442020951</v>
      </c>
      <c r="V127" s="164">
        <f t="shared" si="99"/>
        <v>0.23080950421590782</v>
      </c>
      <c r="W127" s="164">
        <f t="shared" si="99"/>
        <v>-0.04792856039715612</v>
      </c>
      <c r="X127" s="164">
        <f t="shared" si="99"/>
        <v>-0.7583426444189616</v>
      </c>
      <c r="Y127" s="164">
        <f t="shared" si="99"/>
        <v>-2.181229964126021</v>
      </c>
      <c r="Z127" s="164">
        <f t="shared" si="99"/>
        <v>-3.5334469332206604</v>
      </c>
    </row>
    <row r="128" spans="1:26" s="3" customFormat="1" ht="15">
      <c r="A128" s="58" t="s">
        <v>108</v>
      </c>
      <c r="B128" s="188">
        <f aca="true" t="shared" si="100" ref="B128:Z128">(SQRT((B122-B72)^2+(B123-B73)^2))-$D$7</f>
        <v>0</v>
      </c>
      <c r="C128" s="188">
        <f t="shared" si="100"/>
        <v>0</v>
      </c>
      <c r="D128" s="188">
        <f t="shared" si="100"/>
        <v>0</v>
      </c>
      <c r="E128" s="188">
        <f t="shared" si="100"/>
        <v>0</v>
      </c>
      <c r="F128" s="188">
        <f t="shared" si="100"/>
        <v>0</v>
      </c>
      <c r="G128" s="188">
        <f t="shared" si="100"/>
        <v>0</v>
      </c>
      <c r="H128" s="188">
        <f t="shared" si="100"/>
        <v>0</v>
      </c>
      <c r="I128" s="188">
        <f t="shared" si="100"/>
        <v>0</v>
      </c>
      <c r="J128" s="188">
        <f t="shared" si="100"/>
        <v>0</v>
      </c>
      <c r="K128" s="188">
        <f t="shared" si="100"/>
        <v>0</v>
      </c>
      <c r="L128" s="188">
        <f t="shared" si="100"/>
        <v>0</v>
      </c>
      <c r="M128" s="188">
        <f t="shared" si="100"/>
        <v>0</v>
      </c>
      <c r="N128" s="188">
        <f t="shared" si="100"/>
        <v>0</v>
      </c>
      <c r="O128" s="188">
        <f t="shared" si="100"/>
        <v>0</v>
      </c>
      <c r="P128" s="188">
        <f t="shared" si="100"/>
        <v>0</v>
      </c>
      <c r="Q128" s="188">
        <f t="shared" si="100"/>
        <v>0</v>
      </c>
      <c r="R128" s="188">
        <f t="shared" si="100"/>
        <v>0</v>
      </c>
      <c r="S128" s="188">
        <f t="shared" si="100"/>
        <v>0</v>
      </c>
      <c r="T128" s="188">
        <f t="shared" si="100"/>
        <v>0</v>
      </c>
      <c r="U128" s="188">
        <f t="shared" si="100"/>
        <v>0</v>
      </c>
      <c r="V128" s="188">
        <f t="shared" si="100"/>
        <v>0</v>
      </c>
      <c r="W128" s="188">
        <f t="shared" si="100"/>
        <v>0</v>
      </c>
      <c r="X128" s="188">
        <f t="shared" si="100"/>
        <v>0</v>
      </c>
      <c r="Y128" s="188">
        <f t="shared" si="100"/>
        <v>0</v>
      </c>
      <c r="Z128" s="188">
        <f t="shared" si="100"/>
        <v>0</v>
      </c>
    </row>
    <row r="129" spans="1:26" s="1" customFormat="1" ht="15">
      <c r="A129" s="57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</row>
    <row r="130" spans="1:26" s="1" customFormat="1" ht="15.75" thickBot="1">
      <c r="A130" s="189" t="s">
        <v>124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</row>
    <row r="131" spans="1:26" s="186" customFormat="1" ht="15">
      <c r="A131" s="63" t="s">
        <v>125</v>
      </c>
      <c r="B131" s="190">
        <f>$B$11+($I$7-$B$11)*COS(B59)-($J$7-$B$12)*SIN(B59)</f>
        <v>4.2</v>
      </c>
      <c r="C131" s="190">
        <f aca="true" t="shared" si="101" ref="C131:Z131">$B$11+($I$7-$B$11)*COS(C59)-($J$7-$B$12)*SIN(C59)</f>
        <v>4.3731998502082465</v>
      </c>
      <c r="D131" s="190">
        <f t="shared" si="101"/>
        <v>4.415038248034799</v>
      </c>
      <c r="E131" s="190">
        <f t="shared" si="101"/>
        <v>4.373403590100564</v>
      </c>
      <c r="F131" s="190">
        <f t="shared" si="101"/>
        <v>4.332072069210839</v>
      </c>
      <c r="G131" s="190">
        <f t="shared" si="101"/>
        <v>4.319611154629057</v>
      </c>
      <c r="H131" s="190">
        <f t="shared" si="101"/>
        <v>4.331761839175672</v>
      </c>
      <c r="I131" s="190">
        <f t="shared" si="101"/>
        <v>4.356830122506766</v>
      </c>
      <c r="J131" s="190">
        <f t="shared" si="101"/>
        <v>4.384194951425909</v>
      </c>
      <c r="K131" s="190">
        <f t="shared" si="101"/>
        <v>4.405858110270652</v>
      </c>
      <c r="L131" s="190">
        <f t="shared" si="101"/>
        <v>4.416234192407172</v>
      </c>
      <c r="M131" s="190">
        <f t="shared" si="101"/>
        <v>4.411697565605066</v>
      </c>
      <c r="N131" s="190">
        <f t="shared" si="101"/>
        <v>4.390222590316298</v>
      </c>
      <c r="O131" s="190">
        <f t="shared" si="101"/>
        <v>4.351156046930155</v>
      </c>
      <c r="P131" s="190">
        <f t="shared" si="101"/>
        <v>4.295105072770906</v>
      </c>
      <c r="Q131" s="190">
        <f t="shared" si="101"/>
        <v>4.223927855652884</v>
      </c>
      <c r="R131" s="190">
        <f t="shared" si="101"/>
        <v>4.140832922912043</v>
      </c>
      <c r="S131" s="190">
        <f t="shared" si="101"/>
        <v>4.050618332617931</v>
      </c>
      <c r="T131" s="190">
        <f t="shared" si="101"/>
        <v>3.9601160259683477</v>
      </c>
      <c r="U131" s="190">
        <f t="shared" si="101"/>
        <v>3.878946912263036</v>
      </c>
      <c r="V131" s="190">
        <f t="shared" si="101"/>
        <v>3.8206990537039287</v>
      </c>
      <c r="W131" s="190">
        <f t="shared" si="101"/>
        <v>3.8043893871734995</v>
      </c>
      <c r="X131" s="190">
        <f t="shared" si="101"/>
        <v>3.8545682850240333</v>
      </c>
      <c r="Y131" s="190">
        <f t="shared" si="101"/>
        <v>3.992514286302065</v>
      </c>
      <c r="Z131" s="190">
        <f t="shared" si="101"/>
        <v>4.2</v>
      </c>
    </row>
    <row r="132" spans="1:26" s="186" customFormat="1" ht="15">
      <c r="A132" s="61" t="s">
        <v>126</v>
      </c>
      <c r="B132" s="5">
        <f>$B$12+($I$7-$B$11)*SIN(B59)+($J$7-$B$12)*COS(B59)</f>
        <v>1.5</v>
      </c>
      <c r="C132" s="5">
        <f aca="true" t="shared" si="102" ref="C132:Z132">$B$12+($I$7-$B$11)*SIN(C59)+($J$7-$B$12)*COS(C59)</f>
        <v>0.9559851652976878</v>
      </c>
      <c r="D132" s="5">
        <f t="shared" si="102"/>
        <v>0.4128778987339633</v>
      </c>
      <c r="E132" s="5">
        <f t="shared" si="102"/>
        <v>0.04507649159693328</v>
      </c>
      <c r="F132" s="5">
        <f t="shared" si="102"/>
        <v>-0.1335928219343041</v>
      </c>
      <c r="G132" s="5">
        <f t="shared" si="102"/>
        <v>-0.17779354623694532</v>
      </c>
      <c r="H132" s="5">
        <f t="shared" si="102"/>
        <v>-0.13473358613207664</v>
      </c>
      <c r="I132" s="5">
        <f t="shared" si="102"/>
        <v>-0.03418327720431369</v>
      </c>
      <c r="J132" s="5">
        <f t="shared" si="102"/>
        <v>0.10552004664975945</v>
      </c>
      <c r="K132" s="5">
        <f t="shared" si="102"/>
        <v>0.27230117864836345</v>
      </c>
      <c r="L132" s="5">
        <f t="shared" si="102"/>
        <v>0.457428560718911</v>
      </c>
      <c r="M132" s="5">
        <f t="shared" si="102"/>
        <v>0.6539962728594321</v>
      </c>
      <c r="N132" s="5">
        <f t="shared" si="102"/>
        <v>0.8561403778591383</v>
      </c>
      <c r="O132" s="5">
        <f t="shared" si="102"/>
        <v>1.0586280005368192</v>
      </c>
      <c r="P132" s="5">
        <f t="shared" si="102"/>
        <v>1.256632476795212</v>
      </c>
      <c r="Q132" s="5">
        <f t="shared" si="102"/>
        <v>1.445592350249917</v>
      </c>
      <c r="R132" s="5">
        <f t="shared" si="102"/>
        <v>1.6210862572415559</v>
      </c>
      <c r="S132" s="5">
        <f t="shared" si="102"/>
        <v>1.7786572855660958</v>
      </c>
      <c r="T132" s="5">
        <f t="shared" si="102"/>
        <v>1.9134868817014374</v>
      </c>
      <c r="U132" s="5">
        <f t="shared" si="102"/>
        <v>2.0197231658750234</v>
      </c>
      <c r="V132" s="5">
        <f t="shared" si="102"/>
        <v>2.089042150429503</v>
      </c>
      <c r="W132" s="5">
        <f t="shared" si="102"/>
        <v>2.107538161119557</v>
      </c>
      <c r="X132" s="5">
        <f t="shared" si="102"/>
        <v>2.0493793841996917</v>
      </c>
      <c r="Y132" s="5">
        <f t="shared" si="102"/>
        <v>1.8674380493763414</v>
      </c>
      <c r="Z132" s="5">
        <f t="shared" si="102"/>
        <v>1.5</v>
      </c>
    </row>
    <row r="133" spans="1:26" s="186" customFormat="1" ht="15">
      <c r="A133" s="61" t="s">
        <v>127</v>
      </c>
      <c r="B133" s="5">
        <f>-B62*(B132-$B$12)</f>
        <v>0.8177561709524601</v>
      </c>
      <c r="C133" s="5">
        <f aca="true" t="shared" si="103" ref="C133:Z133">-C62*(C132-$B$12)</f>
        <v>0.4281355384303977</v>
      </c>
      <c r="D133" s="5">
        <f t="shared" si="103"/>
        <v>-0.06327551019974956</v>
      </c>
      <c r="E133" s="5">
        <f t="shared" si="103"/>
        <v>-0.16938454938916922</v>
      </c>
      <c r="F133" s="5">
        <f t="shared" si="103"/>
        <v>-0.07758516848366279</v>
      </c>
      <c r="G133" s="5">
        <f t="shared" si="103"/>
        <v>0.004076143764728487</v>
      </c>
      <c r="H133" s="5">
        <f t="shared" si="103"/>
        <v>0.04663430650689989</v>
      </c>
      <c r="I133" s="5">
        <f t="shared" si="103"/>
        <v>0.059785722826549266</v>
      </c>
      <c r="J133" s="5">
        <f t="shared" si="103"/>
        <v>0.052827769580704446</v>
      </c>
      <c r="K133" s="5">
        <f t="shared" si="103"/>
        <v>0.03302249334308983</v>
      </c>
      <c r="L133" s="5">
        <f t="shared" si="103"/>
        <v>0.006334312805963548</v>
      </c>
      <c r="M133" s="5">
        <f t="shared" si="103"/>
        <v>-0.022844215964264416</v>
      </c>
      <c r="N133" s="5">
        <f t="shared" si="103"/>
        <v>-0.052254564112386846</v>
      </c>
      <c r="O133" s="5">
        <f t="shared" si="103"/>
        <v>-0.08191611875455886</v>
      </c>
      <c r="P133" s="5">
        <f t="shared" si="103"/>
        <v>-0.11329919114425026</v>
      </c>
      <c r="Q133" s="5">
        <f t="shared" si="103"/>
        <v>-0.14737125275393104</v>
      </c>
      <c r="R133" s="5">
        <f t="shared" si="103"/>
        <v>-0.1823083886262407</v>
      </c>
      <c r="S133" s="5">
        <f t="shared" si="103"/>
        <v>-0.21199462443281597</v>
      </c>
      <c r="T133" s="5">
        <f t="shared" si="103"/>
        <v>-0.22526955071592697</v>
      </c>
      <c r="U133" s="5">
        <f t="shared" si="103"/>
        <v>-0.20499861207235956</v>
      </c>
      <c r="V133" s="5">
        <f t="shared" si="103"/>
        <v>-0.12661409892100167</v>
      </c>
      <c r="W133" s="5">
        <f t="shared" si="103"/>
        <v>0.041756716371983624</v>
      </c>
      <c r="X133" s="5">
        <f t="shared" si="103"/>
        <v>0.32579993384636924</v>
      </c>
      <c r="Y133" s="5">
        <f t="shared" si="103"/>
        <v>0.6775337576508605</v>
      </c>
      <c r="Z133" s="5">
        <f t="shared" si="103"/>
        <v>0.8243738398352476</v>
      </c>
    </row>
    <row r="134" spans="1:26" s="186" customFormat="1" ht="15">
      <c r="A134" s="61" t="s">
        <v>128</v>
      </c>
      <c r="B134" s="5">
        <f>B62*(B131-$B$11)</f>
        <v>-1.7990635760954123</v>
      </c>
      <c r="C134" s="5">
        <f aca="true" t="shared" si="104" ref="C134:Z134">C62*(C131-$B$11)</f>
        <v>-2.228254936777433</v>
      </c>
      <c r="D134" s="5">
        <f t="shared" si="104"/>
        <v>-1.7540070209014011</v>
      </c>
      <c r="E134" s="5">
        <f t="shared" si="104"/>
        <v>-0.8837043815102839</v>
      </c>
      <c r="F134" s="5">
        <f t="shared" si="104"/>
        <v>-0.2855685830742062</v>
      </c>
      <c r="G134" s="5">
        <f t="shared" si="104"/>
        <v>0.013949776590570463</v>
      </c>
      <c r="H134" s="5">
        <f t="shared" si="104"/>
        <v>0.1713161217320302</v>
      </c>
      <c r="I134" s="5">
        <f t="shared" si="104"/>
        <v>0.26377612041860793</v>
      </c>
      <c r="J134" s="5">
        <f t="shared" si="104"/>
        <v>0.31928542999390397</v>
      </c>
      <c r="K134" s="5">
        <f t="shared" si="104"/>
        <v>0.3489145572174051</v>
      </c>
      <c r="L134" s="5">
        <f t="shared" si="104"/>
        <v>0.35951763542959636</v>
      </c>
      <c r="M134" s="5">
        <f t="shared" si="104"/>
        <v>0.3577576197539672</v>
      </c>
      <c r="N134" s="5">
        <f t="shared" si="104"/>
        <v>0.35070451808741315</v>
      </c>
      <c r="O134" s="5">
        <f t="shared" si="104"/>
        <v>0.34476892988849683</v>
      </c>
      <c r="P134" s="5">
        <f t="shared" si="104"/>
        <v>0.34367220058727305</v>
      </c>
      <c r="Q134" s="5">
        <f t="shared" si="104"/>
        <v>0.3466007672707035</v>
      </c>
      <c r="R134" s="5">
        <f t="shared" si="104"/>
        <v>0.34813717318631354</v>
      </c>
      <c r="S134" s="5">
        <f t="shared" si="104"/>
        <v>0.3399816887493221</v>
      </c>
      <c r="T134" s="5">
        <f t="shared" si="104"/>
        <v>0.3123866674938444</v>
      </c>
      <c r="U134" s="5">
        <f t="shared" si="104"/>
        <v>0.253455048801463</v>
      </c>
      <c r="V134" s="5">
        <f t="shared" si="104"/>
        <v>0.14507240731703328</v>
      </c>
      <c r="W134" s="5">
        <f t="shared" si="104"/>
        <v>-0.04687003872576653</v>
      </c>
      <c r="X134" s="5">
        <f t="shared" si="104"/>
        <v>-0.3899743540775872</v>
      </c>
      <c r="Y134" s="5">
        <f t="shared" si="104"/>
        <v>-0.9872444987083432</v>
      </c>
      <c r="Z134" s="5">
        <f t="shared" si="104"/>
        <v>-1.8136224476375449</v>
      </c>
    </row>
    <row r="135" spans="1:26" s="186" customFormat="1" ht="15">
      <c r="A135" s="61" t="s">
        <v>129</v>
      </c>
      <c r="B135" s="5">
        <f>-B66*(B132-$B$12)-B62*B134</f>
        <v>-0.4773530397048972</v>
      </c>
      <c r="C135" s="5">
        <f aca="true" t="shared" si="105" ref="C135:Z135">-C66*(C132-$B$12)-C62*C134</f>
        <v>-2.21314179304511</v>
      </c>
      <c r="D135" s="5">
        <f t="shared" si="105"/>
        <v>-1.1533549155931595</v>
      </c>
      <c r="E135" s="5">
        <f t="shared" si="105"/>
        <v>0.15893459957252898</v>
      </c>
      <c r="F135" s="5">
        <f t="shared" si="105"/>
        <v>0.2728916218600257</v>
      </c>
      <c r="G135" s="5">
        <f t="shared" si="105"/>
        <v>0.14992075844407646</v>
      </c>
      <c r="H135" s="5">
        <f t="shared" si="105"/>
        <v>0.06026500655170568</v>
      </c>
      <c r="I135" s="5">
        <f t="shared" si="105"/>
        <v>0.004090064439478017</v>
      </c>
      <c r="J135" s="5">
        <f t="shared" si="105"/>
        <v>-0.029958604023056945</v>
      </c>
      <c r="K135" s="5">
        <f t="shared" si="105"/>
        <v>-0.04752395711543514</v>
      </c>
      <c r="L135" s="5">
        <f t="shared" si="105"/>
        <v>-0.053359853086676415</v>
      </c>
      <c r="M135" s="5">
        <f t="shared" si="105"/>
        <v>-0.05304186992486771</v>
      </c>
      <c r="N135" s="5">
        <f t="shared" si="105"/>
        <v>-0.052147601937740415</v>
      </c>
      <c r="O135" s="5">
        <f t="shared" si="105"/>
        <v>-0.054716566495504756</v>
      </c>
      <c r="P135" s="5">
        <f t="shared" si="105"/>
        <v>-0.0618660269235011</v>
      </c>
      <c r="Q135" s="5">
        <f t="shared" si="105"/>
        <v>-0.07073977769992146</v>
      </c>
      <c r="R135" s="5">
        <f t="shared" si="105"/>
        <v>-0.07363798673762922</v>
      </c>
      <c r="S135" s="5">
        <f t="shared" si="105"/>
        <v>-0.05704341742658069</v>
      </c>
      <c r="T135" s="5">
        <f t="shared" si="105"/>
        <v>-0.00015702810225036445</v>
      </c>
      <c r="U135" s="5">
        <f t="shared" si="105"/>
        <v>0.1272069680655008</v>
      </c>
      <c r="V135" s="5">
        <f t="shared" si="105"/>
        <v>0.36507929791408955</v>
      </c>
      <c r="W135" s="5">
        <f t="shared" si="105"/>
        <v>0.746477970445431</v>
      </c>
      <c r="X135" s="5">
        <f t="shared" si="105"/>
        <v>1.1945686201961139</v>
      </c>
      <c r="Y135" s="5">
        <f t="shared" si="105"/>
        <v>1.1735186247224394</v>
      </c>
      <c r="Z135" s="5">
        <f t="shared" si="105"/>
        <v>-0.4189110330091437</v>
      </c>
    </row>
    <row r="136" spans="1:26" s="186" customFormat="1" ht="15">
      <c r="A136" s="61" t="s">
        <v>130</v>
      </c>
      <c r="B136" s="191">
        <f>-B66*(B131-$B$11)-B62*B133</f>
        <v>2.8551782186132693</v>
      </c>
      <c r="C136" s="191">
        <f aca="true" t="shared" si="106" ref="C136:Z136">-C66*(C131-$B$11)-C62*C133</f>
        <v>-0.22765580353125053</v>
      </c>
      <c r="D136" s="191">
        <f t="shared" si="106"/>
        <v>-3.3877532859859834</v>
      </c>
      <c r="E136" s="191">
        <f t="shared" si="106"/>
        <v>-2.6088792660003155</v>
      </c>
      <c r="F136" s="191">
        <f t="shared" si="106"/>
        <v>-1.14264521030847</v>
      </c>
      <c r="G136" s="191">
        <f t="shared" si="106"/>
        <v>-0.5133850517523245</v>
      </c>
      <c r="H136" s="191">
        <f t="shared" si="106"/>
        <v>-0.27105484628919957</v>
      </c>
      <c r="I136" s="191">
        <f t="shared" si="106"/>
        <v>-0.15498755757431618</v>
      </c>
      <c r="J136" s="191">
        <f t="shared" si="106"/>
        <v>-0.08443219053048379</v>
      </c>
      <c r="K136" s="191">
        <f t="shared" si="106"/>
        <v>-0.03731225131537947</v>
      </c>
      <c r="L136" s="191">
        <f t="shared" si="106"/>
        <v>-0.008530418043026478</v>
      </c>
      <c r="M136" s="191">
        <f t="shared" si="106"/>
        <v>0.003840509326105376</v>
      </c>
      <c r="N136" s="191">
        <f t="shared" si="106"/>
        <v>0.003032013111184638</v>
      </c>
      <c r="O136" s="191">
        <f t="shared" si="106"/>
        <v>-0.005497971193603448</v>
      </c>
      <c r="P136" s="191">
        <f t="shared" si="106"/>
        <v>-0.014593272681919484</v>
      </c>
      <c r="Q136" s="191">
        <f t="shared" si="106"/>
        <v>-0.016359887127424456</v>
      </c>
      <c r="R136" s="191">
        <f t="shared" si="106"/>
        <v>-0.0028639959204598033</v>
      </c>
      <c r="S136" s="191">
        <f t="shared" si="106"/>
        <v>0.03406306946731638</v>
      </c>
      <c r="T136" s="191">
        <f t="shared" si="106"/>
        <v>0.10472259001777083</v>
      </c>
      <c r="U136" s="191">
        <f t="shared" si="106"/>
        <v>0.22719863744444335</v>
      </c>
      <c r="V136" s="191">
        <f t="shared" si="106"/>
        <v>0.44163502236849433</v>
      </c>
      <c r="W136" s="191">
        <f t="shared" si="106"/>
        <v>0.8403392119674883</v>
      </c>
      <c r="X136" s="191">
        <f t="shared" si="106"/>
        <v>1.5965325834710786</v>
      </c>
      <c r="Y136" s="191">
        <f t="shared" si="106"/>
        <v>2.7584111175696053</v>
      </c>
      <c r="Z136" s="191">
        <f t="shared" si="106"/>
        <v>3.047214337759393</v>
      </c>
    </row>
    <row r="137" spans="1:26" s="3" customFormat="1" ht="15">
      <c r="A137" s="98" t="s">
        <v>46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</row>
    <row r="138" spans="1:26" s="186" customFormat="1" ht="15">
      <c r="A138" s="61" t="s">
        <v>116</v>
      </c>
      <c r="B138" s="191">
        <f>$O$7*B135</f>
        <v>-1.1933825992622429</v>
      </c>
      <c r="C138" s="191">
        <f aca="true" t="shared" si="107" ref="C138:Z138">$O$7*C135</f>
        <v>-5.532854482612775</v>
      </c>
      <c r="D138" s="191">
        <f t="shared" si="107"/>
        <v>-2.883387288982899</v>
      </c>
      <c r="E138" s="191">
        <f t="shared" si="107"/>
        <v>0.39733649893132245</v>
      </c>
      <c r="F138" s="191">
        <f t="shared" si="107"/>
        <v>0.6822290546500642</v>
      </c>
      <c r="G138" s="191">
        <f t="shared" si="107"/>
        <v>0.37480189611019116</v>
      </c>
      <c r="H138" s="191">
        <f t="shared" si="107"/>
        <v>0.1506625163792642</v>
      </c>
      <c r="I138" s="191">
        <f t="shared" si="107"/>
        <v>0.010225161098695043</v>
      </c>
      <c r="J138" s="191">
        <f t="shared" si="107"/>
        <v>-0.07489651005764236</v>
      </c>
      <c r="K138" s="191">
        <f t="shared" si="107"/>
        <v>-0.11880989278858785</v>
      </c>
      <c r="L138" s="191">
        <f t="shared" si="107"/>
        <v>-0.13339963271669103</v>
      </c>
      <c r="M138" s="191">
        <f t="shared" si="107"/>
        <v>-0.13260467481216928</v>
      </c>
      <c r="N138" s="191">
        <f t="shared" si="107"/>
        <v>-0.13036900484435104</v>
      </c>
      <c r="O138" s="191">
        <f t="shared" si="107"/>
        <v>-0.1367914162387619</v>
      </c>
      <c r="P138" s="191">
        <f t="shared" si="107"/>
        <v>-0.15466506730875274</v>
      </c>
      <c r="Q138" s="191">
        <f t="shared" si="107"/>
        <v>-0.17684944424980364</v>
      </c>
      <c r="R138" s="191">
        <f t="shared" si="107"/>
        <v>-0.18409496684407306</v>
      </c>
      <c r="S138" s="191">
        <f t="shared" si="107"/>
        <v>-0.14260854356645172</v>
      </c>
      <c r="T138" s="191">
        <f t="shared" si="107"/>
        <v>-0.00039257025562591114</v>
      </c>
      <c r="U138" s="191">
        <f t="shared" si="107"/>
        <v>0.318017420163752</v>
      </c>
      <c r="V138" s="191">
        <f t="shared" si="107"/>
        <v>0.9126982447852239</v>
      </c>
      <c r="W138" s="191">
        <f t="shared" si="107"/>
        <v>1.8661949261135775</v>
      </c>
      <c r="X138" s="191">
        <f t="shared" si="107"/>
        <v>2.9864215504902845</v>
      </c>
      <c r="Y138" s="191">
        <f t="shared" si="107"/>
        <v>2.9337965618060986</v>
      </c>
      <c r="Z138" s="191">
        <f t="shared" si="107"/>
        <v>-1.047277582522859</v>
      </c>
    </row>
    <row r="139" spans="1:26" s="186" customFormat="1" ht="15">
      <c r="A139" s="61" t="s">
        <v>117</v>
      </c>
      <c r="B139" s="191">
        <f>$O$7*B136</f>
        <v>7.137945546533173</v>
      </c>
      <c r="C139" s="191">
        <f aca="true" t="shared" si="108" ref="C139:Z139">$O$7*C136</f>
        <v>-0.5691395088281264</v>
      </c>
      <c r="D139" s="191">
        <f t="shared" si="108"/>
        <v>-8.469383214964958</v>
      </c>
      <c r="E139" s="191">
        <f t="shared" si="108"/>
        <v>-6.5221981650007885</v>
      </c>
      <c r="F139" s="191">
        <f t="shared" si="108"/>
        <v>-2.8566130257711753</v>
      </c>
      <c r="G139" s="191">
        <f t="shared" si="108"/>
        <v>-1.2834626293808113</v>
      </c>
      <c r="H139" s="191">
        <f t="shared" si="108"/>
        <v>-0.6776371157229989</v>
      </c>
      <c r="I139" s="191">
        <f t="shared" si="108"/>
        <v>-0.3874688939357904</v>
      </c>
      <c r="J139" s="191">
        <f t="shared" si="108"/>
        <v>-0.21108047632620947</v>
      </c>
      <c r="K139" s="191">
        <f t="shared" si="108"/>
        <v>-0.09328062828844867</v>
      </c>
      <c r="L139" s="191">
        <f t="shared" si="108"/>
        <v>-0.021326045107566194</v>
      </c>
      <c r="M139" s="191">
        <f t="shared" si="108"/>
        <v>0.00960127331526344</v>
      </c>
      <c r="N139" s="191">
        <f t="shared" si="108"/>
        <v>0.007580032777961595</v>
      </c>
      <c r="O139" s="191">
        <f t="shared" si="108"/>
        <v>-0.013744927984008622</v>
      </c>
      <c r="P139" s="191">
        <f t="shared" si="108"/>
        <v>-0.03648318170479871</v>
      </c>
      <c r="Q139" s="191">
        <f t="shared" si="108"/>
        <v>-0.04089971781856114</v>
      </c>
      <c r="R139" s="191">
        <f t="shared" si="108"/>
        <v>-0.007159989801149508</v>
      </c>
      <c r="S139" s="191">
        <f t="shared" si="108"/>
        <v>0.08515767366829095</v>
      </c>
      <c r="T139" s="191">
        <f t="shared" si="108"/>
        <v>0.26180647504442706</v>
      </c>
      <c r="U139" s="191">
        <f t="shared" si="108"/>
        <v>0.5679965936111084</v>
      </c>
      <c r="V139" s="191">
        <f t="shared" si="108"/>
        <v>1.1040875559212358</v>
      </c>
      <c r="W139" s="191">
        <f t="shared" si="108"/>
        <v>2.100848029918721</v>
      </c>
      <c r="X139" s="191">
        <f t="shared" si="108"/>
        <v>3.9913314586776965</v>
      </c>
      <c r="Y139" s="191">
        <f t="shared" si="108"/>
        <v>6.896027793924013</v>
      </c>
      <c r="Z139" s="191">
        <f t="shared" si="108"/>
        <v>7.618035844398483</v>
      </c>
    </row>
    <row r="140" spans="1:26" s="186" customFormat="1" ht="15">
      <c r="A140" s="61" t="s">
        <v>118</v>
      </c>
      <c r="B140" s="191">
        <f>$K$7*B66</f>
        <v>-3.080911134907074</v>
      </c>
      <c r="C140" s="191">
        <f aca="true" t="shared" si="109" ref="C140:Z140">$K$7*C66</f>
        <v>0.8224727551407054</v>
      </c>
      <c r="D140" s="191">
        <f t="shared" si="109"/>
        <v>4.289609636320235</v>
      </c>
      <c r="E140" s="191">
        <f t="shared" si="109"/>
        <v>3.3251887252218415</v>
      </c>
      <c r="F140" s="191">
        <f t="shared" si="109"/>
        <v>1.5062778721813015</v>
      </c>
      <c r="G140" s="191">
        <f t="shared" si="109"/>
        <v>0.6860708813481227</v>
      </c>
      <c r="H140" s="191">
        <f t="shared" si="109"/>
        <v>0.3558033337235656</v>
      </c>
      <c r="I140" s="191">
        <f t="shared" si="109"/>
        <v>0.19505804517578557</v>
      </c>
      <c r="J140" s="191">
        <f t="shared" si="109"/>
        <v>0.10058264972907258</v>
      </c>
      <c r="K140" s="191">
        <f t="shared" si="109"/>
        <v>0.04190670952004759</v>
      </c>
      <c r="L140" s="191">
        <f t="shared" si="109"/>
        <v>0.00973521133846184</v>
      </c>
      <c r="M140" s="191">
        <f t="shared" si="109"/>
        <v>-0.0005806643540128622</v>
      </c>
      <c r="N140" s="191">
        <f t="shared" si="109"/>
        <v>0.006011388582329599</v>
      </c>
      <c r="O140" s="191">
        <f t="shared" si="109"/>
        <v>0.02308692851052536</v>
      </c>
      <c r="P140" s="191">
        <f t="shared" si="109"/>
        <v>0.042626560266738375</v>
      </c>
      <c r="Q140" s="191">
        <f t="shared" si="109"/>
        <v>0.05482020962042285</v>
      </c>
      <c r="R140" s="191">
        <f t="shared" si="109"/>
        <v>0.04707640449833978</v>
      </c>
      <c r="S140" s="191">
        <f t="shared" si="109"/>
        <v>0.0016395106799010032</v>
      </c>
      <c r="T140" s="191">
        <f t="shared" si="109"/>
        <v>-0.10884316034549382</v>
      </c>
      <c r="U140" s="191">
        <f t="shared" si="109"/>
        <v>-0.3292229484643942</v>
      </c>
      <c r="V140" s="191">
        <f t="shared" si="109"/>
        <v>-0.7347694633261882</v>
      </c>
      <c r="W140" s="191">
        <f t="shared" si="109"/>
        <v>-1.4418667871302306</v>
      </c>
      <c r="X140" s="191">
        <f t="shared" si="109"/>
        <v>-2.554165742160223</v>
      </c>
      <c r="Y140" s="191">
        <f t="shared" si="109"/>
        <v>-3.769306762479853</v>
      </c>
      <c r="Z140" s="191">
        <f t="shared" si="109"/>
        <v>-3.3361947912997807</v>
      </c>
    </row>
    <row r="141" spans="1:26" s="186" customFormat="1" ht="15">
      <c r="A141" s="61" t="s">
        <v>122</v>
      </c>
      <c r="B141" s="91">
        <f>B138*B133+B139*B134+B140*B62</f>
        <v>-11.298079733047873</v>
      </c>
      <c r="C141" s="91">
        <f aca="true" t="shared" si="110" ref="C141:Z141">C138*C133+C139*C134+C140*C62</f>
        <v>-1.872863343874763</v>
      </c>
      <c r="D141" s="91">
        <f t="shared" si="110"/>
        <v>11.922324571388023</v>
      </c>
      <c r="E141" s="91">
        <f t="shared" si="110"/>
        <v>4.458303866327772</v>
      </c>
      <c r="F141" s="91">
        <f t="shared" si="110"/>
        <v>0.578380245822153</v>
      </c>
      <c r="G141" s="91">
        <f t="shared" si="110"/>
        <v>-0.012250348174374329</v>
      </c>
      <c r="H141" s="91">
        <f t="shared" si="110"/>
        <v>-0.08292300870904518</v>
      </c>
      <c r="I141" s="91">
        <f t="shared" si="110"/>
        <v>-0.07976285196118879</v>
      </c>
      <c r="J141" s="91">
        <f t="shared" si="110"/>
        <v>-0.05788175911865288</v>
      </c>
      <c r="K141" s="91">
        <f t="shared" si="110"/>
        <v>-0.030392760633915036</v>
      </c>
      <c r="L141" s="91">
        <f t="shared" si="110"/>
        <v>-0.007063557438283245</v>
      </c>
      <c r="M141" s="91">
        <f t="shared" si="110"/>
        <v>0.006378041225262575</v>
      </c>
      <c r="N141" s="91">
        <f t="shared" si="110"/>
        <v>0.010352746012075243</v>
      </c>
      <c r="O141" s="91">
        <f t="shared" si="110"/>
        <v>0.009852019882719073</v>
      </c>
      <c r="P141" s="91">
        <f t="shared" si="110"/>
        <v>0.011368131637708048</v>
      </c>
      <c r="Q141" s="91">
        <f t="shared" si="110"/>
        <v>0.020430419950826957</v>
      </c>
      <c r="R141" s="91">
        <f t="shared" si="110"/>
        <v>0.038724851413401304</v>
      </c>
      <c r="S141" s="91">
        <f t="shared" si="110"/>
        <v>0.05945611654927579</v>
      </c>
      <c r="T141" s="91">
        <f t="shared" si="110"/>
        <v>0.06452678664999875</v>
      </c>
      <c r="U141" s="91">
        <f t="shared" si="110"/>
        <v>0.034358907774666235</v>
      </c>
      <c r="V141" s="91">
        <f t="shared" si="110"/>
        <v>-0.013933896564895604</v>
      </c>
      <c r="W141" s="91">
        <f t="shared" si="110"/>
        <v>0.01691265208242708</v>
      </c>
      <c r="X141" s="91">
        <f t="shared" si="110"/>
        <v>-0.04645686540021843</v>
      </c>
      <c r="Y141" s="91">
        <f t="shared" si="110"/>
        <v>-2.9527154373010482</v>
      </c>
      <c r="Z141" s="91">
        <f t="shared" si="110"/>
        <v>-11.929317345844119</v>
      </c>
    </row>
    <row r="142" spans="1:26" s="186" customFormat="1" ht="15">
      <c r="A142" s="61" t="s">
        <v>121</v>
      </c>
      <c r="B142" s="5">
        <f>$L$7*B134</f>
        <v>-44.12203420373999</v>
      </c>
      <c r="C142" s="5">
        <f aca="true" t="shared" si="111" ref="C142:Z142">$L$7*C134</f>
        <v>-54.64795232446655</v>
      </c>
      <c r="D142" s="5">
        <f t="shared" si="111"/>
        <v>-43.01702218760687</v>
      </c>
      <c r="E142" s="5">
        <f t="shared" si="111"/>
        <v>-21.672849956539714</v>
      </c>
      <c r="F142" s="5">
        <f t="shared" si="111"/>
        <v>-7.003569499894907</v>
      </c>
      <c r="G142" s="5">
        <f t="shared" si="111"/>
        <v>0.34211827088374064</v>
      </c>
      <c r="H142" s="5">
        <f t="shared" si="111"/>
        <v>4.201527885478041</v>
      </c>
      <c r="I142" s="5">
        <f t="shared" si="111"/>
        <v>6.46910935326636</v>
      </c>
      <c r="J142" s="5">
        <f t="shared" si="111"/>
        <v>7.830475170600495</v>
      </c>
      <c r="K142" s="5">
        <f t="shared" si="111"/>
        <v>8.557129515756861</v>
      </c>
      <c r="L142" s="5">
        <f t="shared" si="111"/>
        <v>8.817170008910852</v>
      </c>
      <c r="M142" s="5">
        <f t="shared" si="111"/>
        <v>8.774005624466046</v>
      </c>
      <c r="N142" s="5">
        <f t="shared" si="111"/>
        <v>8.601028306093808</v>
      </c>
      <c r="O142" s="5">
        <f t="shared" si="111"/>
        <v>8.455458005515386</v>
      </c>
      <c r="P142" s="5">
        <f t="shared" si="111"/>
        <v>8.428560719402872</v>
      </c>
      <c r="Q142" s="5">
        <f t="shared" si="111"/>
        <v>8.500383817314004</v>
      </c>
      <c r="R142" s="5">
        <f t="shared" si="111"/>
        <v>8.538064172394341</v>
      </c>
      <c r="S142" s="5">
        <f t="shared" si="111"/>
        <v>8.338050916577126</v>
      </c>
      <c r="T142" s="5">
        <f t="shared" si="111"/>
        <v>7.661283020286535</v>
      </c>
      <c r="U142" s="5">
        <f t="shared" si="111"/>
        <v>6.215985071855881</v>
      </c>
      <c r="V142" s="5">
        <f t="shared" si="111"/>
        <v>3.5579007894502412</v>
      </c>
      <c r="W142" s="5">
        <f t="shared" si="111"/>
        <v>-1.1494876997494243</v>
      </c>
      <c r="X142" s="5">
        <f t="shared" si="111"/>
        <v>-9.564121033752826</v>
      </c>
      <c r="Y142" s="5">
        <f t="shared" si="111"/>
        <v>-24.21217133082212</v>
      </c>
      <c r="Z142" s="5">
        <f t="shared" si="111"/>
        <v>-44.47909052831079</v>
      </c>
    </row>
    <row r="143" spans="1:26" s="186" customFormat="1" ht="15">
      <c r="A143" s="61" t="s">
        <v>120</v>
      </c>
      <c r="B143" s="5">
        <f>0.5*$O$7*(B133^2+B134^2)+0.5*$K$7*B62^2</f>
        <v>5.918217622907839</v>
      </c>
      <c r="C143" s="5">
        <f aca="true" t="shared" si="112" ref="C143:Z143">0.5*$O$7*(C133^2+C134^2)+0.5*$K$7*C118^2</f>
        <v>7.000850386277083</v>
      </c>
      <c r="D143" s="5">
        <f t="shared" si="112"/>
        <v>3.9933773883881267</v>
      </c>
      <c r="E143" s="5">
        <f t="shared" si="112"/>
        <v>1.0148399653710014</v>
      </c>
      <c r="F143" s="5">
        <f t="shared" si="112"/>
        <v>0.11016191541402791</v>
      </c>
      <c r="G143" s="5">
        <f t="shared" si="112"/>
        <v>0.00039473225679075973</v>
      </c>
      <c r="H143" s="5">
        <f t="shared" si="112"/>
        <v>0.03994549358410929</v>
      </c>
      <c r="I143" s="5">
        <f t="shared" si="112"/>
        <v>0.09563597950023929</v>
      </c>
      <c r="J143" s="5">
        <f t="shared" si="112"/>
        <v>0.14317514599971215</v>
      </c>
      <c r="K143" s="5">
        <f t="shared" si="112"/>
        <v>0.17855100584227018</v>
      </c>
      <c r="L143" s="5">
        <f t="shared" si="112"/>
        <v>0.20296521305599258</v>
      </c>
      <c r="M143" s="5">
        <f t="shared" si="112"/>
        <v>0.2198206650127147</v>
      </c>
      <c r="N143" s="5">
        <f t="shared" si="112"/>
        <v>0.2337438854340279</v>
      </c>
      <c r="O143" s="5">
        <f t="shared" si="112"/>
        <v>0.24968725055336358</v>
      </c>
      <c r="P143" s="5">
        <f t="shared" si="112"/>
        <v>0.27119954792100853</v>
      </c>
      <c r="Q143" s="5">
        <f t="shared" si="112"/>
        <v>0.2977377656689793</v>
      </c>
      <c r="R143" s="5">
        <f t="shared" si="112"/>
        <v>0.3222612773932184</v>
      </c>
      <c r="S143" s="5">
        <f t="shared" si="112"/>
        <v>0.3311373367227157</v>
      </c>
      <c r="T143" s="5">
        <f t="shared" si="112"/>
        <v>0.3075505667535485</v>
      </c>
      <c r="U143" s="5">
        <f t="shared" si="112"/>
        <v>0.23951178080178526</v>
      </c>
      <c r="V143" s="5">
        <f t="shared" si="112"/>
        <v>0.13895999684719018</v>
      </c>
      <c r="W143" s="5">
        <f t="shared" si="112"/>
        <v>0.09933633499545313</v>
      </c>
      <c r="X143" s="5">
        <f t="shared" si="112"/>
        <v>0.4629659614063859</v>
      </c>
      <c r="Y143" s="5">
        <f t="shared" si="112"/>
        <v>2.088065683833007</v>
      </c>
      <c r="Z143" s="5">
        <f t="shared" si="112"/>
        <v>5.54825829672622</v>
      </c>
    </row>
    <row r="144" spans="1:26" s="186" customFormat="1" ht="15">
      <c r="A144" s="61" t="s">
        <v>119</v>
      </c>
      <c r="B144" s="5">
        <f>$L$7*(B132-$J$7)</f>
        <v>0</v>
      </c>
      <c r="C144" s="5">
        <f aca="true" t="shared" si="113" ref="C144:Z144">$L$7*(C132-$J$7)</f>
        <v>-13.341963821074208</v>
      </c>
      <c r="D144" s="5">
        <f t="shared" si="113"/>
        <v>-26.661669533549556</v>
      </c>
      <c r="E144" s="5">
        <f t="shared" si="113"/>
        <v>-35.681999043585215</v>
      </c>
      <c r="F144" s="5">
        <f t="shared" si="113"/>
        <v>-40.063863957938814</v>
      </c>
      <c r="G144" s="5">
        <f t="shared" si="113"/>
        <v>-41.147886721461084</v>
      </c>
      <c r="H144" s="5">
        <f t="shared" si="113"/>
        <v>-40.09184119988918</v>
      </c>
      <c r="I144" s="5">
        <f t="shared" si="113"/>
        <v>-37.6258448734358</v>
      </c>
      <c r="J144" s="5">
        <f t="shared" si="113"/>
        <v>-34.19962085591465</v>
      </c>
      <c r="K144" s="5">
        <f t="shared" si="113"/>
        <v>-30.109313593648892</v>
      </c>
      <c r="L144" s="5">
        <f t="shared" si="113"/>
        <v>-25.569064548368708</v>
      </c>
      <c r="M144" s="5">
        <f t="shared" si="113"/>
        <v>-20.748241408122432</v>
      </c>
      <c r="N144" s="5">
        <f t="shared" si="113"/>
        <v>-15.790657233004634</v>
      </c>
      <c r="O144" s="5">
        <f t="shared" si="113"/>
        <v>-10.824648286834512</v>
      </c>
      <c r="P144" s="5">
        <f t="shared" si="113"/>
        <v>-5.968588506597428</v>
      </c>
      <c r="Q144" s="5">
        <f t="shared" si="113"/>
        <v>-1.3343476101207843</v>
      </c>
      <c r="R144" s="5">
        <f t="shared" si="113"/>
        <v>2.969640458849158</v>
      </c>
      <c r="S144" s="5">
        <f t="shared" si="113"/>
        <v>6.834069928508501</v>
      </c>
      <c r="T144" s="5">
        <f t="shared" si="113"/>
        <v>10.140765773727754</v>
      </c>
      <c r="U144" s="5">
        <f t="shared" si="113"/>
        <v>12.74621064308495</v>
      </c>
      <c r="V144" s="5">
        <f t="shared" si="113"/>
        <v>14.446258739283566</v>
      </c>
      <c r="W144" s="5">
        <f t="shared" si="113"/>
        <v>14.89987340145714</v>
      </c>
      <c r="X144" s="5">
        <f t="shared" si="113"/>
        <v>13.47352939749744</v>
      </c>
      <c r="Y144" s="5">
        <f t="shared" si="113"/>
        <v>9.011418160954774</v>
      </c>
      <c r="Z144" s="5">
        <f t="shared" si="113"/>
        <v>0</v>
      </c>
    </row>
    <row r="145" spans="1:27" s="195" customFormat="1" ht="15">
      <c r="A145" s="71" t="s">
        <v>190</v>
      </c>
      <c r="B145" s="193">
        <f>B141+B142</f>
        <v>-55.420113936787864</v>
      </c>
      <c r="C145" s="193">
        <f aca="true" t="shared" si="114" ref="C145:Z145">C141+C142</f>
        <v>-56.520815668341314</v>
      </c>
      <c r="D145" s="193">
        <f t="shared" si="114"/>
        <v>-31.094697616218845</v>
      </c>
      <c r="E145" s="193">
        <f t="shared" si="114"/>
        <v>-17.214546090211943</v>
      </c>
      <c r="F145" s="193">
        <f t="shared" si="114"/>
        <v>-6.425189254072754</v>
      </c>
      <c r="G145" s="193">
        <f t="shared" si="114"/>
        <v>0.3298679227093663</v>
      </c>
      <c r="H145" s="193">
        <f t="shared" si="114"/>
        <v>4.118604876768996</v>
      </c>
      <c r="I145" s="193">
        <f t="shared" si="114"/>
        <v>6.389346501305171</v>
      </c>
      <c r="J145" s="193">
        <f t="shared" si="114"/>
        <v>7.772593411481843</v>
      </c>
      <c r="K145" s="193">
        <f t="shared" si="114"/>
        <v>8.526736755122945</v>
      </c>
      <c r="L145" s="193">
        <f t="shared" si="114"/>
        <v>8.810106451472569</v>
      </c>
      <c r="M145" s="193">
        <f t="shared" si="114"/>
        <v>8.780383665691309</v>
      </c>
      <c r="N145" s="193">
        <f t="shared" si="114"/>
        <v>8.611381052105882</v>
      </c>
      <c r="O145" s="193">
        <f t="shared" si="114"/>
        <v>8.465310025398106</v>
      </c>
      <c r="P145" s="193">
        <f t="shared" si="114"/>
        <v>8.43992885104058</v>
      </c>
      <c r="Q145" s="193">
        <f t="shared" si="114"/>
        <v>8.520814237264831</v>
      </c>
      <c r="R145" s="193">
        <f t="shared" si="114"/>
        <v>8.576789023807741</v>
      </c>
      <c r="S145" s="193">
        <f t="shared" si="114"/>
        <v>8.397507033126402</v>
      </c>
      <c r="T145" s="193">
        <f t="shared" si="114"/>
        <v>7.7258098069365335</v>
      </c>
      <c r="U145" s="193">
        <f t="shared" si="114"/>
        <v>6.250343979630547</v>
      </c>
      <c r="V145" s="193">
        <f t="shared" si="114"/>
        <v>3.543966892885346</v>
      </c>
      <c r="W145" s="193">
        <f t="shared" si="114"/>
        <v>-1.1325750476669973</v>
      </c>
      <c r="X145" s="193">
        <f t="shared" si="114"/>
        <v>-9.610577899153045</v>
      </c>
      <c r="Y145" s="193">
        <f t="shared" si="114"/>
        <v>-27.164886768123168</v>
      </c>
      <c r="Z145" s="193">
        <f t="shared" si="114"/>
        <v>-56.40840787415491</v>
      </c>
      <c r="AA145" s="194"/>
    </row>
    <row r="146" spans="1:27" s="195" customFormat="1" ht="15">
      <c r="A146" s="196"/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4"/>
    </row>
    <row r="147" spans="1:27" s="195" customFormat="1" ht="15.75" thickBot="1">
      <c r="A147" s="167" t="s">
        <v>141</v>
      </c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4"/>
    </row>
    <row r="148" spans="1:27" s="199" customFormat="1" ht="15">
      <c r="A148" s="64" t="s">
        <v>142</v>
      </c>
      <c r="B148" s="197">
        <f>B72+($I$8-$F$6)*COS(B120)-($J$8-$G$6)*SIN(B120)</f>
        <v>2.8</v>
      </c>
      <c r="C148" s="197">
        <f aca="true" t="shared" si="115" ref="C148:Z148">C72+($I$8-$F$6)*COS(C120)-($J$8-$G$6)*SIN(C120)</f>
        <v>2.794740639399202</v>
      </c>
      <c r="D148" s="197">
        <f t="shared" si="115"/>
        <v>2.675170285775409</v>
      </c>
      <c r="E148" s="197">
        <f t="shared" si="115"/>
        <v>2.5281586125188027</v>
      </c>
      <c r="F148" s="197">
        <f t="shared" si="115"/>
        <v>2.3916054175272605</v>
      </c>
      <c r="G148" s="197">
        <f t="shared" si="115"/>
        <v>2.2584265512628257</v>
      </c>
      <c r="H148" s="197">
        <f t="shared" si="115"/>
        <v>2.1196949579760416</v>
      </c>
      <c r="I148" s="197">
        <f t="shared" si="115"/>
        <v>1.9744546395789988</v>
      </c>
      <c r="J148" s="197">
        <f t="shared" si="115"/>
        <v>1.8280708906966563</v>
      </c>
      <c r="K148" s="197">
        <f t="shared" si="115"/>
        <v>1.6893274405954688</v>
      </c>
      <c r="L148" s="197">
        <f t="shared" si="115"/>
        <v>1.5680077389809903</v>
      </c>
      <c r="M148" s="197">
        <f t="shared" si="115"/>
        <v>1.4731127729656615</v>
      </c>
      <c r="N148" s="197">
        <f t="shared" si="115"/>
        <v>1.4116785829248104</v>
      </c>
      <c r="O148" s="197">
        <f t="shared" si="115"/>
        <v>1.388138530192295</v>
      </c>
      <c r="P148" s="197">
        <f t="shared" si="115"/>
        <v>1.4041496702472176</v>
      </c>
      <c r="Q148" s="197">
        <f t="shared" si="115"/>
        <v>1.4587734990158319</v>
      </c>
      <c r="R148" s="197">
        <f t="shared" si="115"/>
        <v>1.548886729093945</v>
      </c>
      <c r="S148" s="197">
        <f t="shared" si="115"/>
        <v>1.6697023089921583</v>
      </c>
      <c r="T148" s="197">
        <f t="shared" si="115"/>
        <v>1.815310365478659</v>
      </c>
      <c r="U148" s="197">
        <f t="shared" si="115"/>
        <v>1.979218250254006</v>
      </c>
      <c r="V148" s="197">
        <f t="shared" si="115"/>
        <v>2.1549482262957564</v>
      </c>
      <c r="W148" s="197">
        <f t="shared" si="115"/>
        <v>2.3365902761517443</v>
      </c>
      <c r="X148" s="197">
        <f t="shared" si="115"/>
        <v>2.518017514367215</v>
      </c>
      <c r="Y148" s="197">
        <f t="shared" si="115"/>
        <v>2.6858727681279024</v>
      </c>
      <c r="Z148" s="197">
        <f t="shared" si="115"/>
        <v>2.8</v>
      </c>
      <c r="AA148" s="198"/>
    </row>
    <row r="149" spans="1:27" s="199" customFormat="1" ht="15">
      <c r="A149" s="65" t="s">
        <v>143</v>
      </c>
      <c r="B149" s="197">
        <f>B73+($I$8-$F$6)*SIN(B120)+($J$8-$G$6)*COS(B120)</f>
        <v>2.1</v>
      </c>
      <c r="C149" s="197">
        <f aca="true" t="shared" si="116" ref="C149:Z149">C73+($I$8-$F$6)*SIN(C120)+($J$8-$G$6)*COS(C120)</f>
        <v>1.9052642787632825</v>
      </c>
      <c r="D149" s="197">
        <f t="shared" si="116"/>
        <v>1.688489375468779</v>
      </c>
      <c r="E149" s="197">
        <f t="shared" si="116"/>
        <v>1.5934167352540525</v>
      </c>
      <c r="F149" s="197">
        <f t="shared" si="116"/>
        <v>1.6075568616825358</v>
      </c>
      <c r="G149" s="197">
        <f t="shared" si="116"/>
        <v>1.6639815860421592</v>
      </c>
      <c r="H149" s="197">
        <f t="shared" si="116"/>
        <v>1.7164243794708134</v>
      </c>
      <c r="I149" s="197">
        <f t="shared" si="116"/>
        <v>1.7422650830230686</v>
      </c>
      <c r="J149" s="197">
        <f t="shared" si="116"/>
        <v>1.7338696535932083</v>
      </c>
      <c r="K149" s="197">
        <f t="shared" si="116"/>
        <v>1.6925996554145548</v>
      </c>
      <c r="L149" s="197">
        <f t="shared" si="116"/>
        <v>1.6252254812708498</v>
      </c>
      <c r="M149" s="197">
        <f t="shared" si="116"/>
        <v>1.5416187032552149</v>
      </c>
      <c r="N149" s="197">
        <f t="shared" si="116"/>
        <v>1.4531507853586074</v>
      </c>
      <c r="O149" s="197">
        <f t="shared" si="116"/>
        <v>1.371540244942992</v>
      </c>
      <c r="P149" s="197">
        <f t="shared" si="116"/>
        <v>1.3079979383385507</v>
      </c>
      <c r="Q149" s="197">
        <f t="shared" si="116"/>
        <v>1.2725443011424602</v>
      </c>
      <c r="R149" s="197">
        <f t="shared" si="116"/>
        <v>1.2733770580384347</v>
      </c>
      <c r="S149" s="197">
        <f t="shared" si="116"/>
        <v>1.3161704148373883</v>
      </c>
      <c r="T149" s="197">
        <f t="shared" si="116"/>
        <v>1.4031907694310568</v>
      </c>
      <c r="U149" s="197">
        <f t="shared" si="116"/>
        <v>1.5321241732779094</v>
      </c>
      <c r="V149" s="197">
        <f t="shared" si="116"/>
        <v>1.6944806331109832</v>
      </c>
      <c r="W149" s="197">
        <f t="shared" si="116"/>
        <v>1.8731503311764113</v>
      </c>
      <c r="X149" s="197">
        <f t="shared" si="116"/>
        <v>2.0378341792703716</v>
      </c>
      <c r="Y149" s="197">
        <f t="shared" si="116"/>
        <v>2.1371462544356494</v>
      </c>
      <c r="Z149" s="197">
        <f t="shared" si="116"/>
        <v>2.0999999999999996</v>
      </c>
      <c r="AA149" s="198"/>
    </row>
    <row r="150" spans="1:27" s="199" customFormat="1" ht="15">
      <c r="A150" s="65" t="s">
        <v>144</v>
      </c>
      <c r="B150" s="200">
        <f>B74-B118*(B149-B73)</f>
        <v>-0.050034599542467584</v>
      </c>
      <c r="C150" s="200">
        <f aca="true" t="shared" si="117" ref="C150:Z150">C74-C118*(C149-C73)</f>
        <v>-0.6083374979637102</v>
      </c>
      <c r="D150" s="200">
        <f t="shared" si="117"/>
        <v>-0.8859324326174836</v>
      </c>
      <c r="E150" s="200">
        <f t="shared" si="117"/>
        <v>-0.8012421315883816</v>
      </c>
      <c r="F150" s="200">
        <f t="shared" si="117"/>
        <v>-0.6741565128495541</v>
      </c>
      <c r="G150" s="200">
        <f t="shared" si="117"/>
        <v>-0.6090363346211628</v>
      </c>
      <c r="H150" s="200">
        <f t="shared" si="117"/>
        <v>-0.5802095917167338</v>
      </c>
      <c r="I150" s="200">
        <f t="shared" si="117"/>
        <v>-0.558585403126493</v>
      </c>
      <c r="J150" s="200">
        <f t="shared" si="117"/>
        <v>-0.5278408716918161</v>
      </c>
      <c r="K150" s="200">
        <f t="shared" si="117"/>
        <v>-0.4822439605999881</v>
      </c>
      <c r="L150" s="200">
        <f t="shared" si="117"/>
        <v>-0.4239038638217847</v>
      </c>
      <c r="M150" s="200">
        <f t="shared" si="117"/>
        <v>-0.3589526657652806</v>
      </c>
      <c r="N150" s="200">
        <f t="shared" si="117"/>
        <v>-0.29332097945527147</v>
      </c>
      <c r="O150" s="200">
        <f t="shared" si="117"/>
        <v>-0.22946797261317156</v>
      </c>
      <c r="P150" s="200">
        <f t="shared" si="117"/>
        <v>-0.1654723333095133</v>
      </c>
      <c r="Q150" s="200">
        <f t="shared" si="117"/>
        <v>-0.09712646535729319</v>
      </c>
      <c r="R150" s="200">
        <f t="shared" si="117"/>
        <v>-0.021592867431113216</v>
      </c>
      <c r="S150" s="200">
        <f t="shared" si="117"/>
        <v>0.06026482689812074</v>
      </c>
      <c r="T150" s="200">
        <f t="shared" si="117"/>
        <v>0.14404856515492304</v>
      </c>
      <c r="U150" s="200">
        <f t="shared" si="117"/>
        <v>0.22344885813835502</v>
      </c>
      <c r="V150" s="200">
        <f t="shared" si="117"/>
        <v>0.2921829785814673</v>
      </c>
      <c r="W150" s="200">
        <f t="shared" si="117"/>
        <v>0.3442739023265237</v>
      </c>
      <c r="X150" s="200">
        <f t="shared" si="117"/>
        <v>0.3642164310931898</v>
      </c>
      <c r="Y150" s="200">
        <f t="shared" si="117"/>
        <v>0.28618686954627814</v>
      </c>
      <c r="Z150" s="200">
        <f t="shared" si="117"/>
        <v>-0.04805331320985273</v>
      </c>
      <c r="AA150" s="198"/>
    </row>
    <row r="151" spans="1:27" s="199" customFormat="1" ht="15">
      <c r="A151" s="65" t="s">
        <v>145</v>
      </c>
      <c r="B151" s="200">
        <f>B75+B118*(B148-B72)</f>
        <v>-0.4738850269118578</v>
      </c>
      <c r="C151" s="200">
        <f aca="true" t="shared" si="118" ref="C151:Z151">C75+C118*(C148-C72)</f>
        <v>-0.9475975884320514</v>
      </c>
      <c r="D151" s="200">
        <f t="shared" si="118"/>
        <v>-0.670831277720371</v>
      </c>
      <c r="E151" s="200">
        <f t="shared" si="118"/>
        <v>-0.13526342754446158</v>
      </c>
      <c r="F151" s="200">
        <f t="shared" si="118"/>
        <v>0.11839709819040369</v>
      </c>
      <c r="G151" s="200">
        <f t="shared" si="118"/>
        <v>0.16624017968870475</v>
      </c>
      <c r="H151" s="200">
        <f t="shared" si="118"/>
        <v>0.13593203063967643</v>
      </c>
      <c r="I151" s="200">
        <f t="shared" si="118"/>
        <v>0.07912086024804839</v>
      </c>
      <c r="J151" s="200">
        <f t="shared" si="118"/>
        <v>0.019537892314911168</v>
      </c>
      <c r="K151" s="200">
        <f t="shared" si="118"/>
        <v>-0.028893982527642935</v>
      </c>
      <c r="L151" s="200">
        <f t="shared" si="118"/>
        <v>-0.05911063817779029</v>
      </c>
      <c r="M151" s="200">
        <f t="shared" si="118"/>
        <v>-0.07009806258054967</v>
      </c>
      <c r="N151" s="200">
        <f t="shared" si="118"/>
        <v>-0.06476112439597717</v>
      </c>
      <c r="O151" s="200">
        <f t="shared" si="118"/>
        <v>-0.046484837501134704</v>
      </c>
      <c r="P151" s="200">
        <f t="shared" si="118"/>
        <v>-0.015654562160725208</v>
      </c>
      <c r="Q151" s="200">
        <f t="shared" si="118"/>
        <v>0.0318051321989766</v>
      </c>
      <c r="R151" s="200">
        <f t="shared" si="118"/>
        <v>0.10235536711232142</v>
      </c>
      <c r="S151" s="200">
        <f t="shared" si="118"/>
        <v>0.20025606508707838</v>
      </c>
      <c r="T151" s="200">
        <f t="shared" si="118"/>
        <v>0.32287584888100873</v>
      </c>
      <c r="U151" s="200">
        <f t="shared" si="118"/>
        <v>0.4568438667773249</v>
      </c>
      <c r="V151" s="200">
        <f t="shared" si="118"/>
        <v>0.5743801535068142</v>
      </c>
      <c r="W151" s="200">
        <f t="shared" si="118"/>
        <v>0.6276126920592286</v>
      </c>
      <c r="X151" s="200">
        <f t="shared" si="118"/>
        <v>0.5365974806552894</v>
      </c>
      <c r="Y151" s="200">
        <f t="shared" si="118"/>
        <v>0.1813897743361067</v>
      </c>
      <c r="Z151" s="200">
        <f t="shared" si="118"/>
        <v>-0.47771766373267766</v>
      </c>
      <c r="AA151" s="198"/>
    </row>
    <row r="152" spans="1:27" s="199" customFormat="1" ht="15">
      <c r="A152" s="65" t="s">
        <v>148</v>
      </c>
      <c r="B152" s="201">
        <f>B76-B119*(B149-B73)-B118^2*(B148-B72)</f>
        <v>-2.3891254989572928</v>
      </c>
      <c r="C152" s="201">
        <f aca="true" t="shared" si="119" ref="C152:Z152">C76-C119*(C149-C73)-C118^2*(C148-C72)</f>
        <v>-2.4129279978619187</v>
      </c>
      <c r="D152" s="201">
        <f t="shared" si="119"/>
        <v>-0.5130719416415054</v>
      </c>
      <c r="E152" s="201">
        <f t="shared" si="119"/>
        <v>0.13731897335659887</v>
      </c>
      <c r="F152" s="201">
        <f t="shared" si="119"/>
        <v>-0.06911004632112841</v>
      </c>
      <c r="G152" s="201">
        <f t="shared" si="119"/>
        <v>-0.1957642749003514</v>
      </c>
      <c r="H152" s="201">
        <f t="shared" si="119"/>
        <v>-0.22065936063394945</v>
      </c>
      <c r="I152" s="201">
        <f t="shared" si="119"/>
        <v>-0.2006685830093458</v>
      </c>
      <c r="J152" s="201">
        <f t="shared" si="119"/>
        <v>-0.16734743688733497</v>
      </c>
      <c r="K152" s="201">
        <f t="shared" si="119"/>
        <v>-0.1404428948670558</v>
      </c>
      <c r="L152" s="201">
        <f t="shared" si="119"/>
        <v>-0.12962491780870627</v>
      </c>
      <c r="M152" s="201">
        <f t="shared" si="119"/>
        <v>-0.13421413578231411</v>
      </c>
      <c r="N152" s="201">
        <f t="shared" si="119"/>
        <v>-0.1462556399338628</v>
      </c>
      <c r="O152" s="201">
        <f t="shared" si="119"/>
        <v>-0.1559070957763224</v>
      </c>
      <c r="P152" s="201">
        <f t="shared" si="119"/>
        <v>-0.1562756892274288</v>
      </c>
      <c r="Q152" s="201">
        <f t="shared" si="119"/>
        <v>-0.14581745223617087</v>
      </c>
      <c r="R152" s="201">
        <f t="shared" si="119"/>
        <v>-0.128133446011549</v>
      </c>
      <c r="S152" s="201">
        <f t="shared" si="119"/>
        <v>-0.11017932876074021</v>
      </c>
      <c r="T152" s="201">
        <f t="shared" si="119"/>
        <v>-0.10009618266234352</v>
      </c>
      <c r="U152" s="201">
        <f t="shared" si="119"/>
        <v>-0.10506823839758446</v>
      </c>
      <c r="V152" s="201">
        <f t="shared" si="119"/>
        <v>-0.13037779836995778</v>
      </c>
      <c r="W152" s="201">
        <f t="shared" si="119"/>
        <v>-0.19130205041999382</v>
      </c>
      <c r="X152" s="201">
        <f t="shared" si="119"/>
        <v>-0.3821381572058248</v>
      </c>
      <c r="Y152" s="201">
        <f t="shared" si="119"/>
        <v>-1.0412319106229715</v>
      </c>
      <c r="Z152" s="201">
        <f t="shared" si="119"/>
        <v>-2.4007342011861286</v>
      </c>
      <c r="AA152" s="198"/>
    </row>
    <row r="153" spans="1:27" s="199" customFormat="1" ht="15">
      <c r="A153" s="65" t="s">
        <v>149</v>
      </c>
      <c r="B153" s="200">
        <f>B77+B119*(B148-B72)-B118^2*(B149-B73)</f>
        <v>-2.8451157541365824</v>
      </c>
      <c r="C153" s="200">
        <f aca="true" t="shared" si="120" ref="C153:Z153">C77+C119*(C148-C72)-C118^2*(C149-C73)</f>
        <v>-0.6252738282840955</v>
      </c>
      <c r="D153" s="200">
        <f t="shared" si="120"/>
        <v>2.010657349190725</v>
      </c>
      <c r="E153" s="200">
        <f t="shared" si="120"/>
        <v>1.3240698770134556</v>
      </c>
      <c r="F153" s="200">
        <f t="shared" si="120"/>
        <v>0.35009382555549107</v>
      </c>
      <c r="G153" s="200">
        <f t="shared" si="120"/>
        <v>0.020851062821361257</v>
      </c>
      <c r="H153" s="200">
        <f t="shared" si="120"/>
        <v>-0.07035728276864306</v>
      </c>
      <c r="I153" s="200">
        <f t="shared" si="120"/>
        <v>-0.08291759823621758</v>
      </c>
      <c r="J153" s="200">
        <f t="shared" si="120"/>
        <v>-0.06010208780059191</v>
      </c>
      <c r="K153" s="200">
        <f t="shared" si="120"/>
        <v>-0.021970433060739612</v>
      </c>
      <c r="L153" s="200">
        <f t="shared" si="120"/>
        <v>0.016016615244346884</v>
      </c>
      <c r="M153" s="200">
        <f t="shared" si="120"/>
        <v>0.044080173059359316</v>
      </c>
      <c r="N153" s="200">
        <f t="shared" si="120"/>
        <v>0.060580131420632156</v>
      </c>
      <c r="O153" s="200">
        <f t="shared" si="120"/>
        <v>0.07147550620555923</v>
      </c>
      <c r="P153" s="200">
        <f t="shared" si="120"/>
        <v>0.08729186510562587</v>
      </c>
      <c r="Q153" s="200">
        <f t="shared" si="120"/>
        <v>0.11891026762747245</v>
      </c>
      <c r="R153" s="200">
        <f t="shared" si="120"/>
        <v>0.17274477290138285</v>
      </c>
      <c r="S153" s="200">
        <f t="shared" si="120"/>
        <v>0.24534241655770578</v>
      </c>
      <c r="T153" s="200">
        <f t="shared" si="120"/>
        <v>0.3174634610643832</v>
      </c>
      <c r="U153" s="200">
        <f t="shared" si="120"/>
        <v>0.3479893691323531</v>
      </c>
      <c r="V153" s="200">
        <f t="shared" si="120"/>
        <v>0.2667015481549335</v>
      </c>
      <c r="W153" s="200">
        <f t="shared" si="120"/>
        <v>-0.04164639224783975</v>
      </c>
      <c r="X153" s="200">
        <f t="shared" si="120"/>
        <v>-0.7658076415960043</v>
      </c>
      <c r="Y153" s="200">
        <f t="shared" si="120"/>
        <v>-2.048696859233966</v>
      </c>
      <c r="Z153" s="200">
        <f t="shared" si="120"/>
        <v>-2.9267403246671835</v>
      </c>
      <c r="AA153" s="198"/>
    </row>
    <row r="154" spans="1:27" s="203" customFormat="1" ht="15">
      <c r="A154" s="66" t="s">
        <v>190</v>
      </c>
      <c r="B154" s="197">
        <f>B159+B158</f>
        <v>-4.98548692435126</v>
      </c>
      <c r="C154" s="197">
        <f aca="true" t="shared" si="121" ref="C154:Z154">C159+C158</f>
        <v>-14.880041620648113</v>
      </c>
      <c r="D154" s="197">
        <f t="shared" si="121"/>
        <v>-15.675770167135822</v>
      </c>
      <c r="E154" s="197">
        <f t="shared" si="121"/>
        <v>-3.255253799237042</v>
      </c>
      <c r="F154" s="197">
        <f t="shared" si="121"/>
        <v>2.4883246427524925</v>
      </c>
      <c r="G154" s="197">
        <f t="shared" si="121"/>
        <v>3.5005688531299115</v>
      </c>
      <c r="H154" s="197">
        <f t="shared" si="121"/>
        <v>2.917650008968227</v>
      </c>
      <c r="I154" s="197">
        <f t="shared" si="121"/>
        <v>1.8021567030942616</v>
      </c>
      <c r="J154" s="197">
        <f t="shared" si="121"/>
        <v>0.6236970762109044</v>
      </c>
      <c r="K154" s="197">
        <f t="shared" si="121"/>
        <v>-0.33782953846125213</v>
      </c>
      <c r="L154" s="197">
        <f t="shared" si="121"/>
        <v>-0.9372447720923538</v>
      </c>
      <c r="M154" s="197">
        <f t="shared" si="121"/>
        <v>-1.15338398731951</v>
      </c>
      <c r="N154" s="197">
        <f t="shared" si="121"/>
        <v>-1.0467011695255934</v>
      </c>
      <c r="O154" s="197">
        <f t="shared" si="121"/>
        <v>-0.6875126111976662</v>
      </c>
      <c r="P154" s="197">
        <f t="shared" si="121"/>
        <v>-0.08455498784259546</v>
      </c>
      <c r="Q154" s="197">
        <f t="shared" si="121"/>
        <v>0.8453316323026124</v>
      </c>
      <c r="R154" s="197">
        <f t="shared" si="121"/>
        <v>2.238339464596717</v>
      </c>
      <c r="S154" s="197">
        <f t="shared" si="121"/>
        <v>4.193142863878711</v>
      </c>
      <c r="T154" s="197">
        <f t="shared" si="121"/>
        <v>6.667032075075962</v>
      </c>
      <c r="U154" s="197">
        <f t="shared" si="121"/>
        <v>9.367858499168479</v>
      </c>
      <c r="V154" s="197">
        <f t="shared" si="121"/>
        <v>11.637343862453339</v>
      </c>
      <c r="W154" s="197">
        <f t="shared" si="121"/>
        <v>12.341404088614656</v>
      </c>
      <c r="X154" s="197">
        <f t="shared" si="121"/>
        <v>9.891039162119034</v>
      </c>
      <c r="Y154" s="197">
        <f t="shared" si="121"/>
        <v>3.306733060244105</v>
      </c>
      <c r="Z154" s="197">
        <f t="shared" si="121"/>
        <v>-4.9019242585225955</v>
      </c>
      <c r="AA154" s="202"/>
    </row>
    <row r="155" spans="1:27" s="199" customFormat="1" ht="15">
      <c r="A155" s="65" t="s">
        <v>116</v>
      </c>
      <c r="B155" s="197">
        <f>$O$8*B152</f>
        <v>-4.7782509979145855</v>
      </c>
      <c r="C155" s="197">
        <f aca="true" t="shared" si="122" ref="C155:Z155">$O$8*C152</f>
        <v>-4.825855995723837</v>
      </c>
      <c r="D155" s="197">
        <f t="shared" si="122"/>
        <v>-1.0261438832830108</v>
      </c>
      <c r="E155" s="197">
        <f t="shared" si="122"/>
        <v>0.27463794671319774</v>
      </c>
      <c r="F155" s="197">
        <f t="shared" si="122"/>
        <v>-0.13822009264225682</v>
      </c>
      <c r="G155" s="197">
        <f t="shared" si="122"/>
        <v>-0.3915285498007028</v>
      </c>
      <c r="H155" s="197">
        <f t="shared" si="122"/>
        <v>-0.4413187212678989</v>
      </c>
      <c r="I155" s="197">
        <f t="shared" si="122"/>
        <v>-0.4013371660186916</v>
      </c>
      <c r="J155" s="197">
        <f t="shared" si="122"/>
        <v>-0.33469487377466994</v>
      </c>
      <c r="K155" s="197">
        <f t="shared" si="122"/>
        <v>-0.2808857897341116</v>
      </c>
      <c r="L155" s="197">
        <f t="shared" si="122"/>
        <v>-0.25924983561741255</v>
      </c>
      <c r="M155" s="197">
        <f t="shared" si="122"/>
        <v>-0.26842827156462823</v>
      </c>
      <c r="N155" s="197">
        <f t="shared" si="122"/>
        <v>-0.2925112798677256</v>
      </c>
      <c r="O155" s="197">
        <f t="shared" si="122"/>
        <v>-0.3118141915526448</v>
      </c>
      <c r="P155" s="197">
        <f t="shared" si="122"/>
        <v>-0.3125513784548576</v>
      </c>
      <c r="Q155" s="197">
        <f t="shared" si="122"/>
        <v>-0.29163490447234175</v>
      </c>
      <c r="R155" s="197">
        <f t="shared" si="122"/>
        <v>-0.256266892023098</v>
      </c>
      <c r="S155" s="197">
        <f t="shared" si="122"/>
        <v>-0.22035865752148043</v>
      </c>
      <c r="T155" s="197">
        <f t="shared" si="122"/>
        <v>-0.20019236532468704</v>
      </c>
      <c r="U155" s="197">
        <f t="shared" si="122"/>
        <v>-0.21013647679516892</v>
      </c>
      <c r="V155" s="197">
        <f t="shared" si="122"/>
        <v>-0.26075559673991555</v>
      </c>
      <c r="W155" s="197">
        <f t="shared" si="122"/>
        <v>-0.38260410083998764</v>
      </c>
      <c r="X155" s="197">
        <f t="shared" si="122"/>
        <v>-0.7642763144116496</v>
      </c>
      <c r="Y155" s="197">
        <f t="shared" si="122"/>
        <v>-2.082463821245943</v>
      </c>
      <c r="Z155" s="197">
        <f t="shared" si="122"/>
        <v>-4.801468402372257</v>
      </c>
      <c r="AA155" s="198"/>
    </row>
    <row r="156" spans="1:27" s="199" customFormat="1" ht="15">
      <c r="A156" s="65" t="s">
        <v>117</v>
      </c>
      <c r="B156" s="197">
        <f>B153*$O$8</f>
        <v>-5.690231508273165</v>
      </c>
      <c r="C156" s="197">
        <f aca="true" t="shared" si="123" ref="C156:Z156">C153*$O$8</f>
        <v>-1.250547656568191</v>
      </c>
      <c r="D156" s="197">
        <f t="shared" si="123"/>
        <v>4.02131469838145</v>
      </c>
      <c r="E156" s="197">
        <f t="shared" si="123"/>
        <v>2.648139754026911</v>
      </c>
      <c r="F156" s="197">
        <f t="shared" si="123"/>
        <v>0.7001876511109821</v>
      </c>
      <c r="G156" s="197">
        <f t="shared" si="123"/>
        <v>0.041702125642722514</v>
      </c>
      <c r="H156" s="197">
        <f t="shared" si="123"/>
        <v>-0.14071456553728612</v>
      </c>
      <c r="I156" s="197">
        <f t="shared" si="123"/>
        <v>-0.16583519647243516</v>
      </c>
      <c r="J156" s="197">
        <f t="shared" si="123"/>
        <v>-0.12020417560118382</v>
      </c>
      <c r="K156" s="197">
        <f t="shared" si="123"/>
        <v>-0.043940866121479225</v>
      </c>
      <c r="L156" s="197">
        <f t="shared" si="123"/>
        <v>0.03203323048869377</v>
      </c>
      <c r="M156" s="197">
        <f t="shared" si="123"/>
        <v>0.08816034611871863</v>
      </c>
      <c r="N156" s="197">
        <f t="shared" si="123"/>
        <v>0.12116026284126431</v>
      </c>
      <c r="O156" s="197">
        <f t="shared" si="123"/>
        <v>0.14295101241111846</v>
      </c>
      <c r="P156" s="197">
        <f t="shared" si="123"/>
        <v>0.17458373021125173</v>
      </c>
      <c r="Q156" s="197">
        <f t="shared" si="123"/>
        <v>0.2378205352549449</v>
      </c>
      <c r="R156" s="197">
        <f t="shared" si="123"/>
        <v>0.3454895458027657</v>
      </c>
      <c r="S156" s="197">
        <f t="shared" si="123"/>
        <v>0.49068483311541156</v>
      </c>
      <c r="T156" s="197">
        <f t="shared" si="123"/>
        <v>0.6349269221287664</v>
      </c>
      <c r="U156" s="197">
        <f t="shared" si="123"/>
        <v>0.6959787382647062</v>
      </c>
      <c r="V156" s="197">
        <f t="shared" si="123"/>
        <v>0.533403096309867</v>
      </c>
      <c r="W156" s="197">
        <f t="shared" si="123"/>
        <v>-0.0832927844956795</v>
      </c>
      <c r="X156" s="197">
        <f t="shared" si="123"/>
        <v>-1.5316152831920087</v>
      </c>
      <c r="Y156" s="197">
        <f t="shared" si="123"/>
        <v>-4.097393718467932</v>
      </c>
      <c r="Z156" s="197">
        <f t="shared" si="123"/>
        <v>-5.853480649334367</v>
      </c>
      <c r="AA156" s="198"/>
    </row>
    <row r="157" spans="1:27" s="199" customFormat="1" ht="15">
      <c r="A157" s="65" t="s">
        <v>118</v>
      </c>
      <c r="B157" s="200">
        <f>$K$8*B119</f>
        <v>2.247320744930936</v>
      </c>
      <c r="C157" s="200">
        <f aca="true" t="shared" si="124" ref="C157:Z157">$K$8*C119</f>
        <v>-0.6771399148975304</v>
      </c>
      <c r="D157" s="200">
        <f t="shared" si="124"/>
        <v>-2.3911927697705906</v>
      </c>
      <c r="E157" s="200">
        <f t="shared" si="124"/>
        <v>-0.5434804394773848</v>
      </c>
      <c r="F157" s="200">
        <f t="shared" si="124"/>
        <v>0.5036093834547395</v>
      </c>
      <c r="G157" s="200">
        <f t="shared" si="124"/>
        <v>0.702481953502946</v>
      </c>
      <c r="H157" s="200">
        <f t="shared" si="124"/>
        <v>0.735441644815198</v>
      </c>
      <c r="I157" s="200">
        <f t="shared" si="124"/>
        <v>0.7446980464075804</v>
      </c>
      <c r="J157" s="200">
        <f t="shared" si="124"/>
        <v>0.7426965707543166</v>
      </c>
      <c r="K157" s="200">
        <f t="shared" si="124"/>
        <v>0.7269649258624606</v>
      </c>
      <c r="L157" s="200">
        <f t="shared" si="124"/>
        <v>0.7010494562484056</v>
      </c>
      <c r="M157" s="200">
        <f t="shared" si="124"/>
        <v>0.6743474565552038</v>
      </c>
      <c r="N157" s="200">
        <f t="shared" si="124"/>
        <v>0.6566200997858919</v>
      </c>
      <c r="O157" s="200">
        <f t="shared" si="124"/>
        <v>0.6526119692971548</v>
      </c>
      <c r="P157" s="200">
        <f t="shared" si="124"/>
        <v>0.6591511724113012</v>
      </c>
      <c r="Q157" s="200">
        <f t="shared" si="124"/>
        <v>0.6652386723137023</v>
      </c>
      <c r="R157" s="200">
        <f t="shared" si="124"/>
        <v>0.6553887627960573</v>
      </c>
      <c r="S157" s="200">
        <f t="shared" si="124"/>
        <v>0.6174248918521824</v>
      </c>
      <c r="T157" s="200">
        <f t="shared" si="124"/>
        <v>0.5558888871648988</v>
      </c>
      <c r="U157" s="200">
        <f t="shared" si="124"/>
        <v>0.5091802447686715</v>
      </c>
      <c r="V157" s="200">
        <f t="shared" si="124"/>
        <v>0.5638099134484243</v>
      </c>
      <c r="W157" s="200">
        <f t="shared" si="124"/>
        <v>0.8575338772772209</v>
      </c>
      <c r="X157" s="200">
        <f t="shared" si="124"/>
        <v>1.5402935353426186</v>
      </c>
      <c r="Y157" s="200">
        <f t="shared" si="124"/>
        <v>2.4878393779596855</v>
      </c>
      <c r="Z157" s="200">
        <f t="shared" si="124"/>
        <v>2.3457653996882972</v>
      </c>
      <c r="AA157" s="198"/>
    </row>
    <row r="158" spans="1:27" s="199" customFormat="1" ht="15">
      <c r="A158" s="67" t="s">
        <v>122</v>
      </c>
      <c r="B158" s="200">
        <f>B155*B150+B156*B151+B157*B118</f>
        <v>4.312137303659391</v>
      </c>
      <c r="C158" s="200">
        <f aca="true" t="shared" si="125" ref="C158:M158">C155*C150+C156*C151+C157*C118</f>
        <v>3.711823064388737</v>
      </c>
      <c r="D158" s="200">
        <f t="shared" si="125"/>
        <v>-2.5140604982621415</v>
      </c>
      <c r="E158" s="200">
        <f t="shared" si="125"/>
        <v>-0.6013853508147059</v>
      </c>
      <c r="F158" s="200">
        <f t="shared" si="125"/>
        <v>0.16537357625677224</v>
      </c>
      <c r="G158" s="200">
        <f t="shared" si="125"/>
        <v>0.23893652763752404</v>
      </c>
      <c r="H158" s="200">
        <f t="shared" si="125"/>
        <v>0.25066356781777543</v>
      </c>
      <c r="I158" s="200">
        <f t="shared" si="125"/>
        <v>0.2498054250275521</v>
      </c>
      <c r="J158" s="200">
        <f t="shared" si="125"/>
        <v>0.24036362899234737</v>
      </c>
      <c r="K158" s="200">
        <f t="shared" si="125"/>
        <v>0.2290703987311023</v>
      </c>
      <c r="L158" s="200">
        <f t="shared" si="125"/>
        <v>0.22250594895589187</v>
      </c>
      <c r="M158" s="200">
        <f t="shared" si="125"/>
        <v>0.22194000051087448</v>
      </c>
      <c r="N158" s="200">
        <f aca="true" t="shared" si="126" ref="N158:Z158">N155*N150+N156*N151+N157*N118</f>
        <v>0.22391209112347865</v>
      </c>
      <c r="O158" s="200">
        <f t="shared" si="126"/>
        <v>0.22451990057459684</v>
      </c>
      <c r="P158" s="200">
        <f t="shared" si="126"/>
        <v>0.22258752175083313</v>
      </c>
      <c r="Q158" s="200">
        <f t="shared" si="126"/>
        <v>0.22131493855869158</v>
      </c>
      <c r="R158" s="200">
        <f t="shared" si="126"/>
        <v>0.2301271618529705</v>
      </c>
      <c r="S158" s="200">
        <f t="shared" si="126"/>
        <v>0.26411886687023234</v>
      </c>
      <c r="T158" s="200">
        <f t="shared" si="126"/>
        <v>0.33220792003057076</v>
      </c>
      <c r="U158" s="200">
        <f t="shared" si="126"/>
        <v>0.4045818329973645</v>
      </c>
      <c r="V158" s="200">
        <f t="shared" si="126"/>
        <v>0.36800525064964473</v>
      </c>
      <c r="W158" s="200">
        <f t="shared" si="126"/>
        <v>0.027643070412589704</v>
      </c>
      <c r="X158" s="200">
        <f t="shared" si="126"/>
        <v>-0.637003408337746</v>
      </c>
      <c r="Y158" s="200">
        <f t="shared" si="126"/>
        <v>-0.25213431223030836</v>
      </c>
      <c r="Z158" s="200">
        <f t="shared" si="126"/>
        <v>4.47089630391254</v>
      </c>
      <c r="AA158" s="198"/>
    </row>
    <row r="159" spans="1:27" s="199" customFormat="1" ht="15">
      <c r="A159" s="68" t="s">
        <v>121</v>
      </c>
      <c r="B159" s="197">
        <f>$L$8*B151</f>
        <v>-9.297624228010651</v>
      </c>
      <c r="C159" s="197">
        <f aca="true" t="shared" si="127" ref="C159:Z159">$L$8*C151</f>
        <v>-18.59186468503685</v>
      </c>
      <c r="D159" s="197">
        <f t="shared" si="127"/>
        <v>-13.16170966887368</v>
      </c>
      <c r="E159" s="197">
        <f t="shared" si="127"/>
        <v>-2.6538684484223363</v>
      </c>
      <c r="F159" s="197">
        <f t="shared" si="127"/>
        <v>2.3229510664957203</v>
      </c>
      <c r="G159" s="197">
        <f t="shared" si="127"/>
        <v>3.2616323254923874</v>
      </c>
      <c r="H159" s="197">
        <f t="shared" si="127"/>
        <v>2.666986441150452</v>
      </c>
      <c r="I159" s="197">
        <f t="shared" si="127"/>
        <v>1.5523512780667095</v>
      </c>
      <c r="J159" s="197">
        <f t="shared" si="127"/>
        <v>0.3833334472185571</v>
      </c>
      <c r="K159" s="197">
        <f t="shared" si="127"/>
        <v>-0.5668999371923544</v>
      </c>
      <c r="L159" s="197">
        <f t="shared" si="127"/>
        <v>-1.1597507210482456</v>
      </c>
      <c r="M159" s="197">
        <f t="shared" si="127"/>
        <v>-1.3753239878303845</v>
      </c>
      <c r="N159" s="197">
        <f t="shared" si="127"/>
        <v>-1.270613260649072</v>
      </c>
      <c r="O159" s="197">
        <f t="shared" si="127"/>
        <v>-0.912032511772263</v>
      </c>
      <c r="P159" s="197">
        <f t="shared" si="127"/>
        <v>-0.3071425095934286</v>
      </c>
      <c r="Q159" s="197">
        <f t="shared" si="127"/>
        <v>0.6240166937439209</v>
      </c>
      <c r="R159" s="197">
        <f t="shared" si="127"/>
        <v>2.0082123027437464</v>
      </c>
      <c r="S159" s="197">
        <f t="shared" si="127"/>
        <v>3.929023997008478</v>
      </c>
      <c r="T159" s="197">
        <f t="shared" si="127"/>
        <v>6.334824155045392</v>
      </c>
      <c r="U159" s="197">
        <f t="shared" si="127"/>
        <v>8.963276666171115</v>
      </c>
      <c r="V159" s="197">
        <f t="shared" si="127"/>
        <v>11.269338611803693</v>
      </c>
      <c r="W159" s="197">
        <f t="shared" si="127"/>
        <v>12.313761018202067</v>
      </c>
      <c r="X159" s="197">
        <f t="shared" si="127"/>
        <v>10.52804257045678</v>
      </c>
      <c r="Y159" s="197">
        <f t="shared" si="127"/>
        <v>3.5588673724744138</v>
      </c>
      <c r="Z159" s="197">
        <f t="shared" si="127"/>
        <v>-9.372820562435136</v>
      </c>
      <c r="AA159" s="198"/>
    </row>
    <row r="160" spans="1:27" s="199" customFormat="1" ht="15">
      <c r="A160" s="65" t="s">
        <v>120</v>
      </c>
      <c r="B160" s="200">
        <f>0.5*$O$8*(B150^2+B151^2)+0.5*$K$8*B119^2</f>
        <v>1.1983109665358842</v>
      </c>
      <c r="C160" s="200">
        <f aca="true" t="shared" si="128" ref="C160:Z160">0.5*$O$8*(C150^2+C151^2)+0.5*$K$8*C119^2</f>
        <v>1.3561923287901088</v>
      </c>
      <c r="D160" s="200">
        <f t="shared" si="128"/>
        <v>2.3344683518320832</v>
      </c>
      <c r="E160" s="200">
        <f t="shared" si="128"/>
        <v>0.7170872613584715</v>
      </c>
      <c r="F160" s="200">
        <f t="shared" si="128"/>
        <v>0.5172784172742374</v>
      </c>
      <c r="G160" s="200">
        <f t="shared" si="128"/>
        <v>0.4934612263465821</v>
      </c>
      <c r="H160" s="200">
        <f t="shared" si="128"/>
        <v>0.45913499745247943</v>
      </c>
      <c r="I160" s="200">
        <f t="shared" si="128"/>
        <v>0.42492683625146765</v>
      </c>
      <c r="J160" s="200">
        <f t="shared" si="128"/>
        <v>0.38507429125875875</v>
      </c>
      <c r="K160" s="200">
        <f t="shared" si="128"/>
        <v>0.3350244850372808</v>
      </c>
      <c r="L160" s="200">
        <f t="shared" si="128"/>
        <v>0.27770208025232096</v>
      </c>
      <c r="M160" s="200">
        <f t="shared" si="128"/>
        <v>0.22121161851494647</v>
      </c>
      <c r="N160" s="200">
        <f t="shared" si="128"/>
        <v>0.1731446531914069</v>
      </c>
      <c r="O160" s="200">
        <f t="shared" si="128"/>
        <v>0.13672069489384278</v>
      </c>
      <c r="P160" s="200">
        <f t="shared" si="128"/>
        <v>0.11118005611718344</v>
      </c>
      <c r="Q160" s="200">
        <f t="shared" si="128"/>
        <v>0.09554944192655303</v>
      </c>
      <c r="R160" s="200">
        <f t="shared" si="128"/>
        <v>0.09354564817739314</v>
      </c>
      <c r="S160" s="200">
        <f t="shared" si="128"/>
        <v>0.11704462886496661</v>
      </c>
      <c r="T160" s="200">
        <f t="shared" si="128"/>
        <v>0.18442427500486824</v>
      </c>
      <c r="U160" s="200">
        <f t="shared" si="128"/>
        <v>0.3084942726736014</v>
      </c>
      <c r="V160" s="200">
        <f t="shared" si="128"/>
        <v>0.47641453419654184</v>
      </c>
      <c r="W160" s="200">
        <f t="shared" si="128"/>
        <v>0.6538384323412156</v>
      </c>
      <c r="X160" s="200">
        <f t="shared" si="128"/>
        <v>0.8768412678119915</v>
      </c>
      <c r="Y160" s="200">
        <f t="shared" si="128"/>
        <v>1.305063784251101</v>
      </c>
      <c r="Z160" s="200">
        <f t="shared" si="128"/>
        <v>1.288718539147805</v>
      </c>
      <c r="AA160" s="198"/>
    </row>
    <row r="161" spans="1:27" s="199" customFormat="1" ht="15">
      <c r="A161" s="67" t="s">
        <v>119</v>
      </c>
      <c r="B161" s="200">
        <f>$L$8*(B149-$J$8)</f>
        <v>0</v>
      </c>
      <c r="C161" s="200">
        <f aca="true" t="shared" si="129" ref="C161:Z161">$L$8*(C149-$J$8)</f>
        <v>-3.8207148506643986</v>
      </c>
      <c r="D161" s="200">
        <f t="shared" si="129"/>
        <v>-8.073838453302557</v>
      </c>
      <c r="E161" s="200">
        <f t="shared" si="129"/>
        <v>-9.939163654315493</v>
      </c>
      <c r="F161" s="200">
        <f t="shared" si="129"/>
        <v>-9.66173437378865</v>
      </c>
      <c r="G161" s="200">
        <f t="shared" si="129"/>
        <v>-8.554681281852838</v>
      </c>
      <c r="H161" s="200">
        <f t="shared" si="129"/>
        <v>-7.525753674782643</v>
      </c>
      <c r="I161" s="200">
        <f t="shared" si="129"/>
        <v>-7.018759071087397</v>
      </c>
      <c r="J161" s="200">
        <f t="shared" si="129"/>
        <v>-7.183477396501255</v>
      </c>
      <c r="K161" s="200">
        <f t="shared" si="129"/>
        <v>-7.993194760766436</v>
      </c>
      <c r="L161" s="200">
        <f t="shared" si="129"/>
        <v>-9.31507605746593</v>
      </c>
      <c r="M161" s="200">
        <f t="shared" si="129"/>
        <v>-10.955441042132687</v>
      </c>
      <c r="N161" s="200">
        <f t="shared" si="129"/>
        <v>-12.691181591264124</v>
      </c>
      <c r="O161" s="200">
        <f t="shared" si="129"/>
        <v>-14.292380394218497</v>
      </c>
      <c r="P161" s="200">
        <f t="shared" si="129"/>
        <v>-15.539080449797638</v>
      </c>
      <c r="Q161" s="200">
        <f t="shared" si="129"/>
        <v>-16.234680811584933</v>
      </c>
      <c r="R161" s="200">
        <f t="shared" si="129"/>
        <v>-16.218342121285914</v>
      </c>
      <c r="S161" s="200">
        <f t="shared" si="129"/>
        <v>-15.378736460890444</v>
      </c>
      <c r="T161" s="200">
        <f t="shared" si="129"/>
        <v>-13.671397103762668</v>
      </c>
      <c r="U161" s="200">
        <f t="shared" si="129"/>
        <v>-11.14172372028742</v>
      </c>
      <c r="V161" s="200">
        <f t="shared" si="129"/>
        <v>-7.956289978362512</v>
      </c>
      <c r="W161" s="200">
        <f t="shared" si="129"/>
        <v>-4.450790502318813</v>
      </c>
      <c r="X161" s="200">
        <f t="shared" si="129"/>
        <v>-1.2196934027153115</v>
      </c>
      <c r="Y161" s="200">
        <f t="shared" si="129"/>
        <v>0.72880951202744</v>
      </c>
      <c r="Z161" s="200">
        <f t="shared" si="129"/>
        <v>-8.713030297258229E-15</v>
      </c>
      <c r="AA161" s="198"/>
    </row>
    <row r="162" ht="15.75" thickBot="1">
      <c r="A162" s="204" t="s">
        <v>150</v>
      </c>
    </row>
    <row r="163" spans="1:27" s="209" customFormat="1" ht="15">
      <c r="A163" s="63" t="s">
        <v>151</v>
      </c>
      <c r="B163" s="207">
        <f>B122+($I$9-$F$7)*1-($J$9-$G$7)*0</f>
        <v>4</v>
      </c>
      <c r="C163" s="207">
        <f aca="true" t="shared" si="130" ref="C163:Z163">C122+($I$9-$F$7)*1-($J$9-$G$7)*0</f>
        <v>3.817353700653238</v>
      </c>
      <c r="D163" s="207">
        <f t="shared" si="130"/>
        <v>3.6084368616770095</v>
      </c>
      <c r="E163" s="207">
        <f t="shared" si="130"/>
        <v>3.525031560476999</v>
      </c>
      <c r="F163" s="207">
        <f t="shared" si="130"/>
        <v>3.542147654042197</v>
      </c>
      <c r="G163" s="207">
        <f t="shared" si="130"/>
        <v>3.5841728153233294</v>
      </c>
      <c r="H163" s="207">
        <f t="shared" si="130"/>
        <v>3.6085186212566227</v>
      </c>
      <c r="I163" s="207">
        <f t="shared" si="130"/>
        <v>3.6004970140781736</v>
      </c>
      <c r="J163" s="207">
        <f t="shared" si="130"/>
        <v>3.560230416132719</v>
      </c>
      <c r="K163" s="207">
        <f t="shared" si="130"/>
        <v>3.4951090912676808</v>
      </c>
      <c r="L163" s="207">
        <f t="shared" si="130"/>
        <v>3.41557919189058</v>
      </c>
      <c r="M163" s="207">
        <f t="shared" si="130"/>
        <v>3.332624784566495</v>
      </c>
      <c r="N163" s="207">
        <f t="shared" si="130"/>
        <v>3.256324568531901</v>
      </c>
      <c r="O163" s="207">
        <f t="shared" si="130"/>
        <v>3.1952159842363663</v>
      </c>
      <c r="P163" s="207">
        <f t="shared" si="130"/>
        <v>3.156233254183495</v>
      </c>
      <c r="Q163" s="207">
        <f t="shared" si="130"/>
        <v>3.1449390372734856</v>
      </c>
      <c r="R163" s="207">
        <f t="shared" si="130"/>
        <v>3.165741781172641</v>
      </c>
      <c r="S163" s="207">
        <f t="shared" si="130"/>
        <v>3.221802097561229</v>
      </c>
      <c r="T163" s="207">
        <f t="shared" si="130"/>
        <v>3.314391993648475</v>
      </c>
      <c r="U163" s="207">
        <f t="shared" si="130"/>
        <v>3.4416196275835995</v>
      </c>
      <c r="V163" s="207">
        <f t="shared" si="130"/>
        <v>3.59664062664916</v>
      </c>
      <c r="W163" s="207">
        <f t="shared" si="130"/>
        <v>3.765388686694793</v>
      </c>
      <c r="X163" s="207">
        <f t="shared" si="130"/>
        <v>3.922709058012899</v>
      </c>
      <c r="Y163" s="207">
        <f t="shared" si="130"/>
        <v>4.0240401839264255</v>
      </c>
      <c r="Z163" s="207">
        <f t="shared" si="130"/>
        <v>4</v>
      </c>
      <c r="AA163" s="208"/>
    </row>
    <row r="164" spans="1:27" s="209" customFormat="1" ht="15">
      <c r="A164" s="61" t="s">
        <v>152</v>
      </c>
      <c r="B164" s="207">
        <f>B123+($I$9-$F$7)*0+($J$9-$G$7)*1</f>
        <v>1.2000000000000002</v>
      </c>
      <c r="C164" s="207">
        <f aca="true" t="shared" si="131" ref="C164:Z164">C123+($I$9-$F$7)*0+($J$9-$G$7)*1</f>
        <v>1.004135823578732</v>
      </c>
      <c r="D164" s="207">
        <f t="shared" si="131"/>
        <v>0.7800999424633606</v>
      </c>
      <c r="E164" s="207">
        <f t="shared" si="131"/>
        <v>0.6906587072062833</v>
      </c>
      <c r="F164" s="207">
        <f t="shared" si="131"/>
        <v>0.709013470383455</v>
      </c>
      <c r="G164" s="207">
        <f t="shared" si="131"/>
        <v>0.7540799383750838</v>
      </c>
      <c r="H164" s="207">
        <f t="shared" si="131"/>
        <v>0.7801876188782808</v>
      </c>
      <c r="I164" s="207">
        <f t="shared" si="131"/>
        <v>0.7715854983360027</v>
      </c>
      <c r="J164" s="207">
        <f t="shared" si="131"/>
        <v>0.728404858640153</v>
      </c>
      <c r="K164" s="207">
        <f t="shared" si="131"/>
        <v>0.6585707874995332</v>
      </c>
      <c r="L164" s="207">
        <f t="shared" si="131"/>
        <v>0.5732854118961197</v>
      </c>
      <c r="M164" s="207">
        <f t="shared" si="131"/>
        <v>0.48432770112312795</v>
      </c>
      <c r="N164" s="207">
        <f t="shared" si="131"/>
        <v>0.40250573687950686</v>
      </c>
      <c r="O164" s="207">
        <f t="shared" si="131"/>
        <v>0.33697480316706896</v>
      </c>
      <c r="P164" s="207">
        <f t="shared" si="131"/>
        <v>0.2951709432270304</v>
      </c>
      <c r="Q164" s="207">
        <f t="shared" si="131"/>
        <v>0.2830593784085047</v>
      </c>
      <c r="R164" s="207">
        <f t="shared" si="131"/>
        <v>0.3053675900486166</v>
      </c>
      <c r="S164" s="207">
        <f t="shared" si="131"/>
        <v>0.3654849192178218</v>
      </c>
      <c r="T164" s="207">
        <f t="shared" si="131"/>
        <v>0.4647754266462223</v>
      </c>
      <c r="U164" s="207">
        <f t="shared" si="131"/>
        <v>0.6012103603287242</v>
      </c>
      <c r="V164" s="207">
        <f t="shared" si="131"/>
        <v>0.7674500291233959</v>
      </c>
      <c r="W164" s="207">
        <f t="shared" si="131"/>
        <v>0.9484101685937008</v>
      </c>
      <c r="X164" s="207">
        <f t="shared" si="131"/>
        <v>1.1171156122447004</v>
      </c>
      <c r="Y164" s="207">
        <f t="shared" si="131"/>
        <v>1.2257799410259373</v>
      </c>
      <c r="Z164" s="207">
        <f t="shared" si="131"/>
        <v>1.2000000000000002</v>
      </c>
      <c r="AA164" s="208"/>
    </row>
    <row r="165" spans="1:27" s="209" customFormat="1" ht="15">
      <c r="A165" s="61" t="s">
        <v>153</v>
      </c>
      <c r="B165" s="208">
        <f>B124</f>
        <v>-1.1437422333898046</v>
      </c>
      <c r="C165" s="208">
        <f aca="true" t="shared" si="132" ref="C165:Z165">C124</f>
        <v>-1.6860055870652861</v>
      </c>
      <c r="D165" s="208">
        <f t="shared" si="132"/>
        <v>-1.425160227190829</v>
      </c>
      <c r="E165" s="208">
        <f t="shared" si="132"/>
        <v>-0.8771410308649065</v>
      </c>
      <c r="F165" s="208">
        <f t="shared" si="132"/>
        <v>-0.6361578192167654</v>
      </c>
      <c r="G165" s="208">
        <f t="shared" si="132"/>
        <v>-0.5927297335562697</v>
      </c>
      <c r="H165" s="208">
        <f t="shared" si="132"/>
        <v>-0.6128770477908352</v>
      </c>
      <c r="I165" s="208">
        <f t="shared" si="132"/>
        <v>-0.6478080799878083</v>
      </c>
      <c r="J165" s="208">
        <f t="shared" si="132"/>
        <v>-0.6772490545584176</v>
      </c>
      <c r="K165" s="208">
        <f t="shared" si="132"/>
        <v>-0.6920364882613299</v>
      </c>
      <c r="L165" s="208">
        <f t="shared" si="132"/>
        <v>-0.6907242959984667</v>
      </c>
      <c r="M165" s="208">
        <f t="shared" si="132"/>
        <v>-0.6771162515720002</v>
      </c>
      <c r="N165" s="208">
        <f t="shared" si="132"/>
        <v>-0.6567448391188164</v>
      </c>
      <c r="O165" s="208">
        <f t="shared" si="132"/>
        <v>-0.6332643220276701</v>
      </c>
      <c r="P165" s="208">
        <f t="shared" si="132"/>
        <v>-0.606025264624088</v>
      </c>
      <c r="Q165" s="208">
        <f t="shared" si="132"/>
        <v>-0.5698846499993133</v>
      </c>
      <c r="R165" s="208">
        <f t="shared" si="132"/>
        <v>-0.5175047082192885</v>
      </c>
      <c r="S165" s="208">
        <f t="shared" si="132"/>
        <v>-0.44308387479013966</v>
      </c>
      <c r="T165" s="208">
        <f t="shared" si="132"/>
        <v>-0.34639197064377636</v>
      </c>
      <c r="U165" s="208">
        <f t="shared" si="132"/>
        <v>-0.23688288630030174</v>
      </c>
      <c r="V165" s="208">
        <f t="shared" si="132"/>
        <v>-0.1376729603794069</v>
      </c>
      <c r="W165" s="208">
        <f t="shared" si="132"/>
        <v>-0.09029809010237833</v>
      </c>
      <c r="X165" s="208">
        <f t="shared" si="132"/>
        <v>-0.1665345718599145</v>
      </c>
      <c r="Y165" s="208">
        <f t="shared" si="132"/>
        <v>-0.48905268863203943</v>
      </c>
      <c r="Z165" s="208">
        <f t="shared" si="132"/>
        <v>-1.1471005585240364</v>
      </c>
      <c r="AA165" s="208"/>
    </row>
    <row r="166" spans="1:27" s="209" customFormat="1" ht="15">
      <c r="A166" s="61" t="s">
        <v>154</v>
      </c>
      <c r="B166" s="208">
        <f>B125</f>
        <v>-0.4265133834209744</v>
      </c>
      <c r="C166" s="208">
        <f aca="true" t="shared" si="133" ref="C166:Z166">C125</f>
        <v>-1.0080196364956084</v>
      </c>
      <c r="D166" s="208">
        <f t="shared" si="133"/>
        <v>-0.7282972344111129</v>
      </c>
      <c r="E166" s="208">
        <f t="shared" si="133"/>
        <v>-0.14061859577831992</v>
      </c>
      <c r="F166" s="208">
        <f t="shared" si="133"/>
        <v>0.11780426003440213</v>
      </c>
      <c r="G166" s="208">
        <f t="shared" si="133"/>
        <v>0.16437518023298925</v>
      </c>
      <c r="H166" s="208">
        <f t="shared" si="133"/>
        <v>0.14276983085680628</v>
      </c>
      <c r="I166" s="208">
        <f t="shared" si="133"/>
        <v>0.10531088491990762</v>
      </c>
      <c r="J166" s="208">
        <f t="shared" si="133"/>
        <v>0.07373930499775397</v>
      </c>
      <c r="K166" s="208">
        <f t="shared" si="133"/>
        <v>0.057881723793186346</v>
      </c>
      <c r="L166" s="208">
        <f t="shared" si="133"/>
        <v>0.059288877717417476</v>
      </c>
      <c r="M166" s="208">
        <f t="shared" si="133"/>
        <v>0.07388171876498578</v>
      </c>
      <c r="N166" s="208">
        <f t="shared" si="133"/>
        <v>0.09572738405878711</v>
      </c>
      <c r="O166" s="208">
        <f t="shared" si="133"/>
        <v>0.12090715588253242</v>
      </c>
      <c r="P166" s="208">
        <f t="shared" si="133"/>
        <v>0.15011746873269982</v>
      </c>
      <c r="Q166" s="208">
        <f t="shared" si="133"/>
        <v>0.18887353301736878</v>
      </c>
      <c r="R166" s="208">
        <f t="shared" si="133"/>
        <v>0.24504414361518173</v>
      </c>
      <c r="S166" s="208">
        <f t="shared" si="133"/>
        <v>0.32485071675856036</v>
      </c>
      <c r="T166" s="208">
        <f t="shared" si="133"/>
        <v>0.4285400892778259</v>
      </c>
      <c r="U166" s="208">
        <f t="shared" si="133"/>
        <v>0.545974204791222</v>
      </c>
      <c r="V166" s="208">
        <f t="shared" si="133"/>
        <v>0.6523638250726564</v>
      </c>
      <c r="W166" s="208">
        <f t="shared" si="133"/>
        <v>0.7031671535992202</v>
      </c>
      <c r="X166" s="208">
        <f t="shared" si="133"/>
        <v>0.621413536000071</v>
      </c>
      <c r="Y166" s="208">
        <f t="shared" si="133"/>
        <v>0.27555519915755683</v>
      </c>
      <c r="Z166" s="208">
        <f t="shared" si="133"/>
        <v>-0.43011474621301427</v>
      </c>
      <c r="AA166" s="208"/>
    </row>
    <row r="167" spans="1:27" s="209" customFormat="1" ht="15">
      <c r="A167" s="61" t="s">
        <v>155</v>
      </c>
      <c r="B167" s="208">
        <f>B126</f>
        <v>-3.9615044002988657</v>
      </c>
      <c r="C167" s="208">
        <f aca="true" t="shared" si="134" ref="C167:Z167">C126</f>
        <v>-1.911701125756326</v>
      </c>
      <c r="D167" s="208">
        <f t="shared" si="134"/>
        <v>1.1388161694125487</v>
      </c>
      <c r="E167" s="208">
        <f t="shared" si="134"/>
        <v>0.5102092593291327</v>
      </c>
      <c r="F167" s="208">
        <f t="shared" si="134"/>
        <v>-0.41526189334100594</v>
      </c>
      <c r="G167" s="208">
        <f t="shared" si="134"/>
        <v>-0.6755402870060013</v>
      </c>
      <c r="H167" s="208">
        <f t="shared" si="134"/>
        <v>-0.7156064959225937</v>
      </c>
      <c r="I167" s="208">
        <f t="shared" si="134"/>
        <v>-0.6932133428951219</v>
      </c>
      <c r="J167" s="208">
        <f t="shared" si="134"/>
        <v>-0.6520929976393355</v>
      </c>
      <c r="K167" s="208">
        <f t="shared" si="134"/>
        <v>-0.6132391710747306</v>
      </c>
      <c r="L167" s="208">
        <f t="shared" si="134"/>
        <v>-0.5894452353114071</v>
      </c>
      <c r="M167" s="208">
        <f t="shared" si="134"/>
        <v>-0.5846645673758629</v>
      </c>
      <c r="N167" s="208">
        <f t="shared" si="134"/>
        <v>-0.5948237326883529</v>
      </c>
      <c r="O167" s="208">
        <f t="shared" si="134"/>
        <v>-0.6112563281256024</v>
      </c>
      <c r="P167" s="208">
        <f t="shared" si="134"/>
        <v>-0.6240079955262154</v>
      </c>
      <c r="Q167" s="208">
        <f t="shared" si="134"/>
        <v>-0.6235593628759017</v>
      </c>
      <c r="R167" s="208">
        <f t="shared" si="134"/>
        <v>-0.6022813684549057</v>
      </c>
      <c r="S167" s="208">
        <f t="shared" si="134"/>
        <v>-0.5583128290908135</v>
      </c>
      <c r="T167" s="208">
        <f t="shared" si="134"/>
        <v>-0.5033041084806266</v>
      </c>
      <c r="U167" s="208">
        <f t="shared" si="134"/>
        <v>-0.47208031255057115</v>
      </c>
      <c r="V167" s="208">
        <f t="shared" si="134"/>
        <v>-0.5307787242048413</v>
      </c>
      <c r="W167" s="208">
        <f t="shared" si="134"/>
        <v>-0.7907061745373377</v>
      </c>
      <c r="X167" s="208">
        <f t="shared" si="134"/>
        <v>-1.4531780252923394</v>
      </c>
      <c r="Y167" s="208">
        <f t="shared" si="134"/>
        <v>-2.780041916793154</v>
      </c>
      <c r="Z167" s="208">
        <f t="shared" si="134"/>
        <v>-4.04100464020525</v>
      </c>
      <c r="AA167" s="208"/>
    </row>
    <row r="168" spans="1:27" s="209" customFormat="1" ht="15">
      <c r="A168" s="61" t="s">
        <v>156</v>
      </c>
      <c r="B168" s="208">
        <f>B127</f>
        <v>-3.4481933635055975</v>
      </c>
      <c r="C168" s="208">
        <f aca="true" t="shared" si="135" ref="C168:Z168">C127</f>
        <v>-1.2500484701800447</v>
      </c>
      <c r="D168" s="208">
        <f t="shared" si="135"/>
        <v>2.021230826548186</v>
      </c>
      <c r="E168" s="208">
        <f t="shared" si="135"/>
        <v>1.3471324452694309</v>
      </c>
      <c r="F168" s="208">
        <f t="shared" si="135"/>
        <v>0.35468613911549834</v>
      </c>
      <c r="G168" s="208">
        <f t="shared" si="135"/>
        <v>0.07557173385367044</v>
      </c>
      <c r="H168" s="208">
        <f t="shared" si="135"/>
        <v>0.032605985082205115</v>
      </c>
      <c r="I168" s="208">
        <f t="shared" si="135"/>
        <v>0.05661970170766032</v>
      </c>
      <c r="J168" s="208">
        <f t="shared" si="135"/>
        <v>0.10071587330537754</v>
      </c>
      <c r="K168" s="208">
        <f t="shared" si="135"/>
        <v>0.14238150117798562</v>
      </c>
      <c r="L168" s="208">
        <f t="shared" si="135"/>
        <v>0.1678973733789113</v>
      </c>
      <c r="M168" s="208">
        <f t="shared" si="135"/>
        <v>0.17302401208600687</v>
      </c>
      <c r="N168" s="208">
        <f t="shared" si="135"/>
        <v>0.16212964108492428</v>
      </c>
      <c r="O168" s="208">
        <f t="shared" si="135"/>
        <v>0.1445078399135237</v>
      </c>
      <c r="P168" s="208">
        <f t="shared" si="135"/>
        <v>0.13083335079246441</v>
      </c>
      <c r="Q168" s="208">
        <f t="shared" si="135"/>
        <v>0.1313144504089565</v>
      </c>
      <c r="R168" s="208">
        <f t="shared" si="135"/>
        <v>0.15413230583811216</v>
      </c>
      <c r="S168" s="208">
        <f t="shared" si="135"/>
        <v>0.2012827916776535</v>
      </c>
      <c r="T168" s="208">
        <f t="shared" si="135"/>
        <v>0.2602724224385077</v>
      </c>
      <c r="U168" s="208">
        <f t="shared" si="135"/>
        <v>0.2937558442020951</v>
      </c>
      <c r="V168" s="208">
        <f t="shared" si="135"/>
        <v>0.23080950421590782</v>
      </c>
      <c r="W168" s="208">
        <f t="shared" si="135"/>
        <v>-0.04792856039715612</v>
      </c>
      <c r="X168" s="208">
        <f t="shared" si="135"/>
        <v>-0.7583426444189616</v>
      </c>
      <c r="Y168" s="208">
        <f t="shared" si="135"/>
        <v>-2.181229964126021</v>
      </c>
      <c r="Z168" s="208">
        <f t="shared" si="135"/>
        <v>-3.5334469332206604</v>
      </c>
      <c r="AA168" s="208"/>
    </row>
    <row r="169" spans="1:27" s="209" customFormat="1" ht="15">
      <c r="A169" s="61" t="s">
        <v>46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</row>
    <row r="170" spans="1:27" s="209" customFormat="1" ht="15">
      <c r="A170" s="61" t="s">
        <v>116</v>
      </c>
      <c r="B170" s="208">
        <f>B167*$O$9</f>
        <v>-9.507610560717277</v>
      </c>
      <c r="C170" s="208">
        <f aca="true" t="shared" si="136" ref="C170:Z170">C167*$O$9</f>
        <v>-4.588082701815182</v>
      </c>
      <c r="D170" s="208">
        <f t="shared" si="136"/>
        <v>2.733158806590117</v>
      </c>
      <c r="E170" s="208">
        <f t="shared" si="136"/>
        <v>1.2245022223899185</v>
      </c>
      <c r="F170" s="208">
        <f t="shared" si="136"/>
        <v>-0.9966285440184142</v>
      </c>
      <c r="G170" s="208">
        <f t="shared" si="136"/>
        <v>-1.6212966888144031</v>
      </c>
      <c r="H170" s="208">
        <f t="shared" si="136"/>
        <v>-1.717455590214225</v>
      </c>
      <c r="I170" s="208">
        <f t="shared" si="136"/>
        <v>-1.6637120229482927</v>
      </c>
      <c r="J170" s="208">
        <f t="shared" si="136"/>
        <v>-1.565023194334405</v>
      </c>
      <c r="K170" s="208">
        <f t="shared" si="136"/>
        <v>-1.4717740105793533</v>
      </c>
      <c r="L170" s="208">
        <f t="shared" si="136"/>
        <v>-1.4146685647473771</v>
      </c>
      <c r="M170" s="208">
        <f t="shared" si="136"/>
        <v>-1.403194961702071</v>
      </c>
      <c r="N170" s="208">
        <f t="shared" si="136"/>
        <v>-1.4275769584520468</v>
      </c>
      <c r="O170" s="208">
        <f t="shared" si="136"/>
        <v>-1.4670151875014457</v>
      </c>
      <c r="P170" s="208">
        <f t="shared" si="136"/>
        <v>-1.497619189262917</v>
      </c>
      <c r="Q170" s="208">
        <f t="shared" si="136"/>
        <v>-1.4965424709021642</v>
      </c>
      <c r="R170" s="208">
        <f t="shared" si="136"/>
        <v>-1.4454752842917735</v>
      </c>
      <c r="S170" s="208">
        <f t="shared" si="136"/>
        <v>-1.3399507898179523</v>
      </c>
      <c r="T170" s="208">
        <f t="shared" si="136"/>
        <v>-1.2079298603535038</v>
      </c>
      <c r="U170" s="208">
        <f t="shared" si="136"/>
        <v>-1.1329927501213708</v>
      </c>
      <c r="V170" s="208">
        <f t="shared" si="136"/>
        <v>-1.273868938091619</v>
      </c>
      <c r="W170" s="208">
        <f t="shared" si="136"/>
        <v>-1.8976948188896103</v>
      </c>
      <c r="X170" s="208">
        <f t="shared" si="136"/>
        <v>-3.4876272607016143</v>
      </c>
      <c r="Y170" s="208">
        <f t="shared" si="136"/>
        <v>-6.67210060030357</v>
      </c>
      <c r="Z170" s="208">
        <f t="shared" si="136"/>
        <v>-9.698411136492599</v>
      </c>
      <c r="AA170" s="208"/>
    </row>
    <row r="171" spans="1:27" s="209" customFormat="1" ht="15">
      <c r="A171" s="61" t="s">
        <v>117</v>
      </c>
      <c r="B171" s="208">
        <f>B168*$O$9</f>
        <v>-8.275664072413434</v>
      </c>
      <c r="C171" s="208">
        <f aca="true" t="shared" si="137" ref="C171:Z171">C168*$O$9</f>
        <v>-3.000116328432107</v>
      </c>
      <c r="D171" s="208">
        <f t="shared" si="137"/>
        <v>4.850953983715646</v>
      </c>
      <c r="E171" s="208">
        <f t="shared" si="137"/>
        <v>3.233117868646634</v>
      </c>
      <c r="F171" s="208">
        <f t="shared" si="137"/>
        <v>0.851246733877196</v>
      </c>
      <c r="G171" s="208">
        <f t="shared" si="137"/>
        <v>0.18137216124880906</v>
      </c>
      <c r="H171" s="208">
        <f t="shared" si="137"/>
        <v>0.07825436419729227</v>
      </c>
      <c r="I171" s="208">
        <f t="shared" si="137"/>
        <v>0.13588728409838477</v>
      </c>
      <c r="J171" s="208">
        <f t="shared" si="137"/>
        <v>0.24171809593290608</v>
      </c>
      <c r="K171" s="208">
        <f t="shared" si="137"/>
        <v>0.34171560282716545</v>
      </c>
      <c r="L171" s="208">
        <f t="shared" si="137"/>
        <v>0.40295369610938714</v>
      </c>
      <c r="M171" s="208">
        <f t="shared" si="137"/>
        <v>0.4152576290064165</v>
      </c>
      <c r="N171" s="208">
        <f t="shared" si="137"/>
        <v>0.38911113860381824</v>
      </c>
      <c r="O171" s="208">
        <f t="shared" si="137"/>
        <v>0.3468188157924569</v>
      </c>
      <c r="P171" s="208">
        <f t="shared" si="137"/>
        <v>0.3140000419019146</v>
      </c>
      <c r="Q171" s="208">
        <f t="shared" si="137"/>
        <v>0.3151546809814956</v>
      </c>
      <c r="R171" s="208">
        <f t="shared" si="137"/>
        <v>0.36991753401146915</v>
      </c>
      <c r="S171" s="208">
        <f t="shared" si="137"/>
        <v>0.4830787000263684</v>
      </c>
      <c r="T171" s="208">
        <f t="shared" si="137"/>
        <v>0.6246538138524184</v>
      </c>
      <c r="U171" s="208">
        <f t="shared" si="137"/>
        <v>0.7050140260850283</v>
      </c>
      <c r="V171" s="208">
        <f t="shared" si="137"/>
        <v>0.5539428101181787</v>
      </c>
      <c r="W171" s="208">
        <f t="shared" si="137"/>
        <v>-0.11502854495317469</v>
      </c>
      <c r="X171" s="208">
        <f t="shared" si="137"/>
        <v>-1.8200223466055077</v>
      </c>
      <c r="Y171" s="208">
        <f t="shared" si="137"/>
        <v>-5.23495191390245</v>
      </c>
      <c r="Z171" s="208">
        <f t="shared" si="137"/>
        <v>-8.480272639729584</v>
      </c>
      <c r="AA171" s="208"/>
    </row>
    <row r="172" spans="1:27" s="209" customFormat="1" ht="15">
      <c r="A172" s="61" t="s">
        <v>118</v>
      </c>
      <c r="B172" s="208">
        <f>$K$9*0</f>
        <v>0</v>
      </c>
      <c r="C172" s="208">
        <f aca="true" t="shared" si="138" ref="C172:Z172">$K$9*0</f>
        <v>0</v>
      </c>
      <c r="D172" s="208">
        <f t="shared" si="138"/>
        <v>0</v>
      </c>
      <c r="E172" s="208">
        <f t="shared" si="138"/>
        <v>0</v>
      </c>
      <c r="F172" s="208">
        <f t="shared" si="138"/>
        <v>0</v>
      </c>
      <c r="G172" s="208">
        <f t="shared" si="138"/>
        <v>0</v>
      </c>
      <c r="H172" s="208">
        <f t="shared" si="138"/>
        <v>0</v>
      </c>
      <c r="I172" s="208">
        <f t="shared" si="138"/>
        <v>0</v>
      </c>
      <c r="J172" s="208">
        <f t="shared" si="138"/>
        <v>0</v>
      </c>
      <c r="K172" s="208">
        <f t="shared" si="138"/>
        <v>0</v>
      </c>
      <c r="L172" s="208">
        <f t="shared" si="138"/>
        <v>0</v>
      </c>
      <c r="M172" s="208">
        <f t="shared" si="138"/>
        <v>0</v>
      </c>
      <c r="N172" s="208">
        <f t="shared" si="138"/>
        <v>0</v>
      </c>
      <c r="O172" s="208">
        <f t="shared" si="138"/>
        <v>0</v>
      </c>
      <c r="P172" s="208">
        <f t="shared" si="138"/>
        <v>0</v>
      </c>
      <c r="Q172" s="208">
        <f t="shared" si="138"/>
        <v>0</v>
      </c>
      <c r="R172" s="208">
        <f t="shared" si="138"/>
        <v>0</v>
      </c>
      <c r="S172" s="208">
        <f t="shared" si="138"/>
        <v>0</v>
      </c>
      <c r="T172" s="208">
        <f t="shared" si="138"/>
        <v>0</v>
      </c>
      <c r="U172" s="208">
        <f t="shared" si="138"/>
        <v>0</v>
      </c>
      <c r="V172" s="208">
        <f t="shared" si="138"/>
        <v>0</v>
      </c>
      <c r="W172" s="208">
        <f t="shared" si="138"/>
        <v>0</v>
      </c>
      <c r="X172" s="208">
        <f t="shared" si="138"/>
        <v>0</v>
      </c>
      <c r="Y172" s="208">
        <f t="shared" si="138"/>
        <v>0</v>
      </c>
      <c r="Z172" s="208">
        <f t="shared" si="138"/>
        <v>0</v>
      </c>
      <c r="AA172" s="208"/>
    </row>
    <row r="173" spans="1:27" s="209" customFormat="1" ht="15">
      <c r="A173" s="69" t="s">
        <v>122</v>
      </c>
      <c r="B173" s="207">
        <f>B170*B165+B171*B166+B172*0</f>
        <v>14.403937220495724</v>
      </c>
      <c r="C173" s="207">
        <f aca="true" t="shared" si="139" ref="C173:Z173">C170*C165+C171*C166+C172*0</f>
        <v>10.759709240008661</v>
      </c>
      <c r="D173" s="207">
        <f t="shared" si="139"/>
        <v>-7.4281255963442625</v>
      </c>
      <c r="E173" s="207">
        <f t="shared" si="139"/>
        <v>-1.5286976363183462</v>
      </c>
      <c r="F173" s="207">
        <f t="shared" si="139"/>
        <v>0.7342935327230392</v>
      </c>
      <c r="G173" s="207">
        <f t="shared" si="139"/>
        <v>0.9908038360711432</v>
      </c>
      <c r="H173" s="207">
        <f t="shared" si="139"/>
        <v>1.0637614741826151</v>
      </c>
      <c r="I173" s="207">
        <f t="shared" si="139"/>
        <v>1.0920765013765297</v>
      </c>
      <c r="J173" s="207">
        <f t="shared" si="139"/>
        <v>1.0777346031244435</v>
      </c>
      <c r="K173" s="207">
        <f t="shared" si="139"/>
        <v>1.0383004059342933</v>
      </c>
      <c r="L173" s="207">
        <f t="shared" si="139"/>
        <v>1.0010366208707042</v>
      </c>
      <c r="M173" s="207">
        <f t="shared" si="139"/>
        <v>0.9808060600536895</v>
      </c>
      <c r="N173" s="207">
        <f t="shared" si="139"/>
        <v>0.9748023913149985</v>
      </c>
      <c r="O173" s="207">
        <f t="shared" si="139"/>
        <v>0.9709412547414122</v>
      </c>
      <c r="P173" s="207">
        <f t="shared" si="139"/>
        <v>0.9547319569514484</v>
      </c>
      <c r="Q173" s="207">
        <f t="shared" si="139"/>
        <v>0.9123809602831242</v>
      </c>
      <c r="R173" s="207">
        <f t="shared" si="139"/>
        <v>0.8386863905656877</v>
      </c>
      <c r="S173" s="207">
        <f t="shared" si="139"/>
        <v>0.7506390499350057</v>
      </c>
      <c r="T173" s="207">
        <f t="shared" si="139"/>
        <v>0.6861064058833615</v>
      </c>
      <c r="U173" s="207">
        <f t="shared" si="139"/>
        <v>0.6533060650644981</v>
      </c>
      <c r="V173" s="207">
        <f t="shared" si="139"/>
        <v>0.5367495583226359</v>
      </c>
      <c r="W173" s="207">
        <f t="shared" si="139"/>
        <v>0.09047392320552675</v>
      </c>
      <c r="X173" s="207">
        <f t="shared" si="139"/>
        <v>-0.5501760093353656</v>
      </c>
      <c r="Y173" s="207">
        <f t="shared" si="139"/>
        <v>1.820490520186282</v>
      </c>
      <c r="Z173" s="207">
        <f t="shared" si="139"/>
        <v>14.772543145720853</v>
      </c>
      <c r="AA173" s="208"/>
    </row>
    <row r="174" spans="1:27" s="211" customFormat="1" ht="15">
      <c r="A174" s="70" t="s">
        <v>121</v>
      </c>
      <c r="B174" s="208">
        <f>$L$9*B166</f>
        <v>-10.04183109926342</v>
      </c>
      <c r="C174" s="208">
        <f aca="true" t="shared" si="140" ref="C174:Z174">$L$9*C166</f>
        <v>-23.732814321652604</v>
      </c>
      <c r="D174" s="208">
        <f t="shared" si="140"/>
        <v>-17.147030086975242</v>
      </c>
      <c r="E174" s="208">
        <f t="shared" si="140"/>
        <v>-3.310724219004764</v>
      </c>
      <c r="F174" s="208">
        <f t="shared" si="140"/>
        <v>2.773583498249964</v>
      </c>
      <c r="G174" s="208">
        <f t="shared" si="140"/>
        <v>3.870049243405499</v>
      </c>
      <c r="H174" s="208">
        <f t="shared" si="140"/>
        <v>3.361372897692647</v>
      </c>
      <c r="I174" s="208">
        <f t="shared" si="140"/>
        <v>2.479439474554305</v>
      </c>
      <c r="J174" s="208">
        <f t="shared" si="140"/>
        <v>1.7361181968671195</v>
      </c>
      <c r="K174" s="208">
        <f t="shared" si="140"/>
        <v>1.3627673049867794</v>
      </c>
      <c r="L174" s="208">
        <f t="shared" si="140"/>
        <v>1.3958973369788772</v>
      </c>
      <c r="M174" s="208">
        <f t="shared" si="140"/>
        <v>1.7394711866028252</v>
      </c>
      <c r="N174" s="208">
        <f t="shared" si="140"/>
        <v>2.2538055302800837</v>
      </c>
      <c r="O174" s="208">
        <f t="shared" si="140"/>
        <v>2.8466380780983433</v>
      </c>
      <c r="P174" s="208">
        <f t="shared" si="140"/>
        <v>3.5343656838426845</v>
      </c>
      <c r="Q174" s="208">
        <f t="shared" si="140"/>
        <v>4.44683846136093</v>
      </c>
      <c r="R174" s="208">
        <f t="shared" si="140"/>
        <v>5.769319317275839</v>
      </c>
      <c r="S174" s="208">
        <f t="shared" si="140"/>
        <v>7.648285275363546</v>
      </c>
      <c r="T174" s="208">
        <f t="shared" si="140"/>
        <v>10.089547861957133</v>
      </c>
      <c r="U174" s="208">
        <f t="shared" si="140"/>
        <v>12.854416677604533</v>
      </c>
      <c r="V174" s="208">
        <f t="shared" si="140"/>
        <v>15.359253897510623</v>
      </c>
      <c r="W174" s="208">
        <f t="shared" si="140"/>
        <v>16.55536746434004</v>
      </c>
      <c r="X174" s="208">
        <f t="shared" si="140"/>
        <v>14.630560291585672</v>
      </c>
      <c r="Y174" s="208">
        <f t="shared" si="140"/>
        <v>6.487671608965518</v>
      </c>
      <c r="Z174" s="208">
        <f t="shared" si="140"/>
        <v>-10.126621584839208</v>
      </c>
      <c r="AA174" s="210"/>
    </row>
    <row r="175" spans="1:27" s="209" customFormat="1" ht="15">
      <c r="A175" s="61" t="s">
        <v>120</v>
      </c>
      <c r="B175" s="208">
        <f>0.5*(B165^2+B166^2)+0.5*$K$9*B118^2</f>
        <v>1.326572830488495</v>
      </c>
      <c r="C175" s="208">
        <f aca="true" t="shared" si="141" ref="C175:Z175">0.5*(C165^2+C166^2)+0.5*$K$9*C118^2</f>
        <v>2.4946844716900207</v>
      </c>
      <c r="D175" s="208">
        <f t="shared" si="141"/>
        <v>1.4234461313438134</v>
      </c>
      <c r="E175" s="208">
        <f t="shared" si="141"/>
        <v>0.39738425478340356</v>
      </c>
      <c r="F175" s="208">
        <f t="shared" si="141"/>
        <v>0.20998813022090965</v>
      </c>
      <c r="G175" s="208">
        <f t="shared" si="141"/>
        <v>0.18930458669730088</v>
      </c>
      <c r="H175" s="208">
        <f t="shared" si="141"/>
        <v>0.19854127860410056</v>
      </c>
      <c r="I175" s="208">
        <f t="shared" si="141"/>
        <v>0.21956860704406048</v>
      </c>
      <c r="J175" s="208">
        <f t="shared" si="141"/>
        <v>0.24430958069404307</v>
      </c>
      <c r="K175" s="208">
        <f t="shared" si="141"/>
        <v>0.2661435867284271</v>
      </c>
      <c r="L175" s="208">
        <f t="shared" si="141"/>
        <v>0.28165650797826186</v>
      </c>
      <c r="M175" s="208">
        <f t="shared" si="141"/>
        <v>0.2911526623991994</v>
      </c>
      <c r="N175" s="208">
        <f t="shared" si="141"/>
        <v>0.2968273952211219</v>
      </c>
      <c r="O175" s="208">
        <f t="shared" si="141"/>
        <v>0.30053853959140964</v>
      </c>
      <c r="P175" s="208">
        <f t="shared" si="141"/>
        <v>0.3024163755986628</v>
      </c>
      <c r="Q175" s="208">
        <f t="shared" si="141"/>
        <v>0.30064565604500154</v>
      </c>
      <c r="R175" s="208">
        <f t="shared" si="141"/>
        <v>0.2931453551707657</v>
      </c>
      <c r="S175" s="208">
        <f t="shared" si="141"/>
        <v>0.28140140401994845</v>
      </c>
      <c r="T175" s="208">
        <f t="shared" si="141"/>
        <v>0.2739528188413298</v>
      </c>
      <c r="U175" s="208">
        <f t="shared" si="141"/>
        <v>0.28378258196828754</v>
      </c>
      <c r="V175" s="208">
        <f t="shared" si="141"/>
        <v>0.31487978222579827</v>
      </c>
      <c r="W175" s="208">
        <f t="shared" si="141"/>
        <v>0.34570970061853</v>
      </c>
      <c r="X175" s="208">
        <f t="shared" si="141"/>
        <v>0.3471282424150618</v>
      </c>
      <c r="Y175" s="208">
        <f t="shared" si="141"/>
        <v>0.45348766762052223</v>
      </c>
      <c r="Z175" s="208">
        <f t="shared" si="141"/>
        <v>1.3376542268898546</v>
      </c>
      <c r="AA175" s="208"/>
    </row>
    <row r="176" spans="1:27" s="209" customFormat="1" ht="15">
      <c r="A176" s="69" t="s">
        <v>119</v>
      </c>
      <c r="B176" s="208">
        <f>$L$9*(B164-$J$9)</f>
        <v>5.227818178354937E-15</v>
      </c>
      <c r="C176" s="208">
        <f aca="true" t="shared" si="142" ref="C176:Z176">$L$9*(C164-$J$9)</f>
        <v>-4.61142616966233</v>
      </c>
      <c r="D176" s="208">
        <f t="shared" si="142"/>
        <v>-9.886126954642638</v>
      </c>
      <c r="E176" s="208">
        <f t="shared" si="142"/>
        <v>-11.991931397535264</v>
      </c>
      <c r="F176" s="208">
        <f t="shared" si="142"/>
        <v>-11.559786853291936</v>
      </c>
      <c r="G176" s="208">
        <f t="shared" si="142"/>
        <v>-10.498741930897026</v>
      </c>
      <c r="H176" s="208">
        <f t="shared" si="142"/>
        <v>-9.884062701129755</v>
      </c>
      <c r="I176" s="208">
        <f t="shared" si="142"/>
        <v>-10.086591027177153</v>
      </c>
      <c r="J176" s="208">
        <f t="shared" si="142"/>
        <v>-11.103236008176236</v>
      </c>
      <c r="K176" s="208">
        <f t="shared" si="142"/>
        <v>-12.747409379110989</v>
      </c>
      <c r="L176" s="208">
        <f t="shared" si="142"/>
        <v>-14.755368262317758</v>
      </c>
      <c r="M176" s="208">
        <f t="shared" si="142"/>
        <v>-16.849788604757073</v>
      </c>
      <c r="N176" s="208">
        <f t="shared" si="142"/>
        <v>-18.77620493090889</v>
      </c>
      <c r="O176" s="208">
        <f t="shared" si="142"/>
        <v>-20.31906523423453</v>
      </c>
      <c r="P176" s="208">
        <f t="shared" si="142"/>
        <v>-21.303295312662794</v>
      </c>
      <c r="Q176" s="208">
        <f t="shared" si="142"/>
        <v>-21.588449994750164</v>
      </c>
      <c r="R176" s="208">
        <f t="shared" si="142"/>
        <v>-21.06322545989537</v>
      </c>
      <c r="S176" s="208">
        <f t="shared" si="142"/>
        <v>-19.647823061935604</v>
      </c>
      <c r="T176" s="208">
        <f t="shared" si="142"/>
        <v>-17.31012735504134</v>
      </c>
      <c r="U176" s="208">
        <f t="shared" si="142"/>
        <v>-14.097903276420517</v>
      </c>
      <c r="V176" s="208">
        <f t="shared" si="142"/>
        <v>-10.183956514318767</v>
      </c>
      <c r="W176" s="208">
        <f t="shared" si="142"/>
        <v>-5.9234309906299085</v>
      </c>
      <c r="X176" s="208">
        <f t="shared" si="142"/>
        <v>-1.951430025310774</v>
      </c>
      <c r="Y176" s="208">
        <f t="shared" si="142"/>
        <v>0.60696293151467</v>
      </c>
      <c r="Z176" s="208">
        <f t="shared" si="142"/>
        <v>5.227818178354937E-15</v>
      </c>
      <c r="AA176" s="208"/>
    </row>
    <row r="177" spans="1:26" ht="15">
      <c r="A177" s="71" t="s">
        <v>190</v>
      </c>
      <c r="B177" s="205">
        <f>B173+B174</f>
        <v>4.362106121232303</v>
      </c>
      <c r="C177" s="205">
        <f aca="true" t="shared" si="143" ref="C177:Z177">C173+C174</f>
        <v>-12.973105081643943</v>
      </c>
      <c r="D177" s="205">
        <f t="shared" si="143"/>
        <v>-24.575155683319505</v>
      </c>
      <c r="E177" s="205">
        <f t="shared" si="143"/>
        <v>-4.83942185532311</v>
      </c>
      <c r="F177" s="205">
        <f t="shared" si="143"/>
        <v>3.507877030973003</v>
      </c>
      <c r="G177" s="205">
        <f t="shared" si="143"/>
        <v>4.860853079476643</v>
      </c>
      <c r="H177" s="205">
        <f t="shared" si="143"/>
        <v>4.425134371875262</v>
      </c>
      <c r="I177" s="205">
        <f t="shared" si="143"/>
        <v>3.5715159759308346</v>
      </c>
      <c r="J177" s="205">
        <f t="shared" si="143"/>
        <v>2.813852799991563</v>
      </c>
      <c r="K177" s="205">
        <f t="shared" si="143"/>
        <v>2.4010677109210725</v>
      </c>
      <c r="L177" s="205">
        <f t="shared" si="143"/>
        <v>2.3969339578495816</v>
      </c>
      <c r="M177" s="205">
        <f t="shared" si="143"/>
        <v>2.7202772466565146</v>
      </c>
      <c r="N177" s="205">
        <f t="shared" si="143"/>
        <v>3.2286079215950823</v>
      </c>
      <c r="O177" s="205">
        <f t="shared" si="143"/>
        <v>3.8175793328397556</v>
      </c>
      <c r="P177" s="205">
        <f t="shared" si="143"/>
        <v>4.4890976407941325</v>
      </c>
      <c r="Q177" s="205">
        <f t="shared" si="143"/>
        <v>5.359219421644054</v>
      </c>
      <c r="R177" s="205">
        <f t="shared" si="143"/>
        <v>6.608005707841526</v>
      </c>
      <c r="S177" s="205">
        <f t="shared" si="143"/>
        <v>8.398924325298552</v>
      </c>
      <c r="T177" s="205">
        <f t="shared" si="143"/>
        <v>10.775654267840494</v>
      </c>
      <c r="U177" s="205">
        <f t="shared" si="143"/>
        <v>13.507722742669031</v>
      </c>
      <c r="V177" s="205">
        <f t="shared" si="143"/>
        <v>15.89600345583326</v>
      </c>
      <c r="W177" s="205">
        <f t="shared" si="143"/>
        <v>16.645841387545566</v>
      </c>
      <c r="X177" s="205">
        <f t="shared" si="143"/>
        <v>14.080384282250307</v>
      </c>
      <c r="Y177" s="205">
        <f t="shared" si="143"/>
        <v>8.3081621291518</v>
      </c>
      <c r="Z177" s="205">
        <f t="shared" si="143"/>
        <v>4.645921560881645</v>
      </c>
    </row>
    <row r="178" spans="1:27" s="114" customFormat="1" ht="15.75" thickBot="1">
      <c r="A178" s="212" t="s">
        <v>157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93"/>
    </row>
    <row r="179" spans="1:27" s="214" customFormat="1" ht="15">
      <c r="A179" s="50" t="s">
        <v>158</v>
      </c>
      <c r="B179" s="213">
        <f>B122+$N$10*COS($D$15)-M10*SIN($D$15)</f>
        <v>2.940602391701016</v>
      </c>
      <c r="C179" s="213">
        <f aca="true" t="shared" si="144" ref="C179:Z179">C122+$N$10*COS($D$15)-N10*SIN($D$15)</f>
        <v>2.6848207221923364</v>
      </c>
      <c r="D179" s="213">
        <f t="shared" si="144"/>
        <v>2.622174623539942</v>
      </c>
      <c r="E179" s="213">
        <f t="shared" si="144"/>
        <v>2.5387693223399315</v>
      </c>
      <c r="F179" s="213">
        <f t="shared" si="144"/>
        <v>2.5558854159051294</v>
      </c>
      <c r="G179" s="213">
        <f t="shared" si="144"/>
        <v>2.597910577186262</v>
      </c>
      <c r="H179" s="213">
        <f t="shared" si="144"/>
        <v>2.6222563831195553</v>
      </c>
      <c r="I179" s="213">
        <f t="shared" si="144"/>
        <v>2.614234775941106</v>
      </c>
      <c r="J179" s="213">
        <f t="shared" si="144"/>
        <v>2.573968177995652</v>
      </c>
      <c r="K179" s="213">
        <f t="shared" si="144"/>
        <v>2.5088468531306134</v>
      </c>
      <c r="L179" s="213">
        <f t="shared" si="144"/>
        <v>2.4293169537535126</v>
      </c>
      <c r="M179" s="213">
        <f t="shared" si="144"/>
        <v>2.3463625464294275</v>
      </c>
      <c r="N179" s="213">
        <f t="shared" si="144"/>
        <v>2.2700623303948335</v>
      </c>
      <c r="O179" s="213">
        <f t="shared" si="144"/>
        <v>2.208953746099299</v>
      </c>
      <c r="P179" s="213">
        <f t="shared" si="144"/>
        <v>2.1699710160464276</v>
      </c>
      <c r="Q179" s="213">
        <f t="shared" si="144"/>
        <v>2.158676799136418</v>
      </c>
      <c r="R179" s="213">
        <f t="shared" si="144"/>
        <v>2.1794795430355736</v>
      </c>
      <c r="S179" s="213">
        <f t="shared" si="144"/>
        <v>2.235539859424162</v>
      </c>
      <c r="T179" s="213">
        <f t="shared" si="144"/>
        <v>2.3281297555114078</v>
      </c>
      <c r="U179" s="213">
        <f t="shared" si="144"/>
        <v>2.455357389446532</v>
      </c>
      <c r="V179" s="213">
        <f t="shared" si="144"/>
        <v>2.6103783885120926</v>
      </c>
      <c r="W179" s="213">
        <f t="shared" si="144"/>
        <v>2.779126448557726</v>
      </c>
      <c r="X179" s="213">
        <f t="shared" si="144"/>
        <v>2.936446819875832</v>
      </c>
      <c r="Y179" s="213">
        <f t="shared" si="144"/>
        <v>3.037777945789358</v>
      </c>
      <c r="Z179" s="213">
        <f t="shared" si="144"/>
        <v>3.0137377618629326</v>
      </c>
      <c r="AA179" s="213"/>
    </row>
    <row r="180" spans="1:27" s="214" customFormat="1" ht="15">
      <c r="A180" s="51" t="s">
        <v>159</v>
      </c>
      <c r="B180" s="213">
        <f>B123+$N$10*SIN($D$15)+$M$10*COS($D$15)</f>
        <v>4.100037912047876</v>
      </c>
      <c r="C180" s="213">
        <f aca="true" t="shared" si="145" ref="C180:Z180">C123+$N$10*SIN($D$15)+$M$10*COS($D$15)</f>
        <v>3.904173735626608</v>
      </c>
      <c r="D180" s="213">
        <f t="shared" si="145"/>
        <v>3.6801378545112367</v>
      </c>
      <c r="E180" s="213">
        <f t="shared" si="145"/>
        <v>3.5906966192541594</v>
      </c>
      <c r="F180" s="213">
        <f t="shared" si="145"/>
        <v>3.609051382431331</v>
      </c>
      <c r="G180" s="213">
        <f t="shared" si="145"/>
        <v>3.65411785042296</v>
      </c>
      <c r="H180" s="213">
        <f t="shared" si="145"/>
        <v>3.680225530926157</v>
      </c>
      <c r="I180" s="213">
        <f t="shared" si="145"/>
        <v>3.6716234103838787</v>
      </c>
      <c r="J180" s="213">
        <f t="shared" si="145"/>
        <v>3.628442770688029</v>
      </c>
      <c r="K180" s="213">
        <f t="shared" si="145"/>
        <v>3.5586086995474093</v>
      </c>
      <c r="L180" s="213">
        <f t="shared" si="145"/>
        <v>3.473323323943996</v>
      </c>
      <c r="M180" s="213">
        <f t="shared" si="145"/>
        <v>3.384365613171004</v>
      </c>
      <c r="N180" s="213">
        <f t="shared" si="145"/>
        <v>3.302543648927383</v>
      </c>
      <c r="O180" s="213">
        <f t="shared" si="145"/>
        <v>3.237012715214945</v>
      </c>
      <c r="P180" s="213">
        <f t="shared" si="145"/>
        <v>3.1952088552749065</v>
      </c>
      <c r="Q180" s="213">
        <f t="shared" si="145"/>
        <v>3.183097290456381</v>
      </c>
      <c r="R180" s="213">
        <f t="shared" si="145"/>
        <v>3.2054055020964927</v>
      </c>
      <c r="S180" s="213">
        <f t="shared" si="145"/>
        <v>3.265522831265698</v>
      </c>
      <c r="T180" s="213">
        <f t="shared" si="145"/>
        <v>3.3648133386940984</v>
      </c>
      <c r="U180" s="213">
        <f t="shared" si="145"/>
        <v>3.5012482723766003</v>
      </c>
      <c r="V180" s="213">
        <f t="shared" si="145"/>
        <v>3.667487941171272</v>
      </c>
      <c r="W180" s="213">
        <f t="shared" si="145"/>
        <v>3.848448080641577</v>
      </c>
      <c r="X180" s="213">
        <f t="shared" si="145"/>
        <v>4.017153524292576</v>
      </c>
      <c r="Y180" s="213">
        <f t="shared" si="145"/>
        <v>4.125817853073813</v>
      </c>
      <c r="Z180" s="213">
        <f t="shared" si="145"/>
        <v>4.100037912047876</v>
      </c>
      <c r="AA180" s="213"/>
    </row>
    <row r="181" spans="1:27" s="214" customFormat="1" ht="15">
      <c r="A181" s="51" t="s">
        <v>160</v>
      </c>
      <c r="B181" s="213">
        <f>B124</f>
        <v>-1.1437422333898046</v>
      </c>
      <c r="C181" s="213">
        <f aca="true" t="shared" si="146" ref="C181:Z181">C124</f>
        <v>-1.6860055870652861</v>
      </c>
      <c r="D181" s="213">
        <f t="shared" si="146"/>
        <v>-1.425160227190829</v>
      </c>
      <c r="E181" s="213">
        <f t="shared" si="146"/>
        <v>-0.8771410308649065</v>
      </c>
      <c r="F181" s="213">
        <f t="shared" si="146"/>
        <v>-0.6361578192167654</v>
      </c>
      <c r="G181" s="213">
        <f t="shared" si="146"/>
        <v>-0.5927297335562697</v>
      </c>
      <c r="H181" s="213">
        <f t="shared" si="146"/>
        <v>-0.6128770477908352</v>
      </c>
      <c r="I181" s="213">
        <f t="shared" si="146"/>
        <v>-0.6478080799878083</v>
      </c>
      <c r="J181" s="213">
        <f t="shared" si="146"/>
        <v>-0.6772490545584176</v>
      </c>
      <c r="K181" s="213">
        <f t="shared" si="146"/>
        <v>-0.6920364882613299</v>
      </c>
      <c r="L181" s="213">
        <f t="shared" si="146"/>
        <v>-0.6907242959984667</v>
      </c>
      <c r="M181" s="213">
        <f t="shared" si="146"/>
        <v>-0.6771162515720002</v>
      </c>
      <c r="N181" s="213">
        <f t="shared" si="146"/>
        <v>-0.6567448391188164</v>
      </c>
      <c r="O181" s="213">
        <f t="shared" si="146"/>
        <v>-0.6332643220276701</v>
      </c>
      <c r="P181" s="213">
        <f t="shared" si="146"/>
        <v>-0.606025264624088</v>
      </c>
      <c r="Q181" s="213">
        <f t="shared" si="146"/>
        <v>-0.5698846499993133</v>
      </c>
      <c r="R181" s="213">
        <f t="shared" si="146"/>
        <v>-0.5175047082192885</v>
      </c>
      <c r="S181" s="213">
        <f t="shared" si="146"/>
        <v>-0.44308387479013966</v>
      </c>
      <c r="T181" s="213">
        <f t="shared" si="146"/>
        <v>-0.34639197064377636</v>
      </c>
      <c r="U181" s="213">
        <f t="shared" si="146"/>
        <v>-0.23688288630030174</v>
      </c>
      <c r="V181" s="213">
        <f t="shared" si="146"/>
        <v>-0.1376729603794069</v>
      </c>
      <c r="W181" s="213">
        <f t="shared" si="146"/>
        <v>-0.09029809010237833</v>
      </c>
      <c r="X181" s="213">
        <f t="shared" si="146"/>
        <v>-0.1665345718599145</v>
      </c>
      <c r="Y181" s="213">
        <f t="shared" si="146"/>
        <v>-0.48905268863203943</v>
      </c>
      <c r="Z181" s="213">
        <f t="shared" si="146"/>
        <v>-1.1471005585240364</v>
      </c>
      <c r="AA181" s="213"/>
    </row>
    <row r="182" spans="1:27" s="214" customFormat="1" ht="15">
      <c r="A182" s="51" t="s">
        <v>161</v>
      </c>
      <c r="B182" s="213">
        <f>B125</f>
        <v>-0.4265133834209744</v>
      </c>
      <c r="C182" s="213">
        <f aca="true" t="shared" si="147" ref="C182:Z182">C125</f>
        <v>-1.0080196364956084</v>
      </c>
      <c r="D182" s="213">
        <f t="shared" si="147"/>
        <v>-0.7282972344111129</v>
      </c>
      <c r="E182" s="213">
        <f t="shared" si="147"/>
        <v>-0.14061859577831992</v>
      </c>
      <c r="F182" s="213">
        <f t="shared" si="147"/>
        <v>0.11780426003440213</v>
      </c>
      <c r="G182" s="213">
        <f t="shared" si="147"/>
        <v>0.16437518023298925</v>
      </c>
      <c r="H182" s="213">
        <f t="shared" si="147"/>
        <v>0.14276983085680628</v>
      </c>
      <c r="I182" s="213">
        <f t="shared" si="147"/>
        <v>0.10531088491990762</v>
      </c>
      <c r="J182" s="213">
        <f t="shared" si="147"/>
        <v>0.07373930499775397</v>
      </c>
      <c r="K182" s="213">
        <f t="shared" si="147"/>
        <v>0.057881723793186346</v>
      </c>
      <c r="L182" s="213">
        <f t="shared" si="147"/>
        <v>0.059288877717417476</v>
      </c>
      <c r="M182" s="213">
        <f t="shared" si="147"/>
        <v>0.07388171876498578</v>
      </c>
      <c r="N182" s="213">
        <f t="shared" si="147"/>
        <v>0.09572738405878711</v>
      </c>
      <c r="O182" s="213">
        <f t="shared" si="147"/>
        <v>0.12090715588253242</v>
      </c>
      <c r="P182" s="213">
        <f t="shared" si="147"/>
        <v>0.15011746873269982</v>
      </c>
      <c r="Q182" s="213">
        <f t="shared" si="147"/>
        <v>0.18887353301736878</v>
      </c>
      <c r="R182" s="213">
        <f t="shared" si="147"/>
        <v>0.24504414361518173</v>
      </c>
      <c r="S182" s="213">
        <f t="shared" si="147"/>
        <v>0.32485071675856036</v>
      </c>
      <c r="T182" s="213">
        <f t="shared" si="147"/>
        <v>0.4285400892778259</v>
      </c>
      <c r="U182" s="213">
        <f t="shared" si="147"/>
        <v>0.545974204791222</v>
      </c>
      <c r="V182" s="213">
        <f t="shared" si="147"/>
        <v>0.6523638250726564</v>
      </c>
      <c r="W182" s="213">
        <f t="shared" si="147"/>
        <v>0.7031671535992202</v>
      </c>
      <c r="X182" s="213">
        <f t="shared" si="147"/>
        <v>0.621413536000071</v>
      </c>
      <c r="Y182" s="213">
        <f t="shared" si="147"/>
        <v>0.27555519915755683</v>
      </c>
      <c r="Z182" s="213">
        <f t="shared" si="147"/>
        <v>-0.43011474621301427</v>
      </c>
      <c r="AA182" s="213"/>
    </row>
    <row r="183" spans="1:27" s="214" customFormat="1" ht="15">
      <c r="A183" s="51" t="s">
        <v>162</v>
      </c>
      <c r="B183" s="213">
        <f>B126</f>
        <v>-3.9615044002988657</v>
      </c>
      <c r="C183" s="213">
        <f aca="true" t="shared" si="148" ref="C183:Z183">C126</f>
        <v>-1.911701125756326</v>
      </c>
      <c r="D183" s="213">
        <f t="shared" si="148"/>
        <v>1.1388161694125487</v>
      </c>
      <c r="E183" s="213">
        <f t="shared" si="148"/>
        <v>0.5102092593291327</v>
      </c>
      <c r="F183" s="213">
        <f t="shared" si="148"/>
        <v>-0.41526189334100594</v>
      </c>
      <c r="G183" s="213">
        <f t="shared" si="148"/>
        <v>-0.6755402870060013</v>
      </c>
      <c r="H183" s="213">
        <f t="shared" si="148"/>
        <v>-0.7156064959225937</v>
      </c>
      <c r="I183" s="213">
        <f t="shared" si="148"/>
        <v>-0.6932133428951219</v>
      </c>
      <c r="J183" s="213">
        <f t="shared" si="148"/>
        <v>-0.6520929976393355</v>
      </c>
      <c r="K183" s="213">
        <f t="shared" si="148"/>
        <v>-0.6132391710747306</v>
      </c>
      <c r="L183" s="213">
        <f t="shared" si="148"/>
        <v>-0.5894452353114071</v>
      </c>
      <c r="M183" s="213">
        <f t="shared" si="148"/>
        <v>-0.5846645673758629</v>
      </c>
      <c r="N183" s="213">
        <f t="shared" si="148"/>
        <v>-0.5948237326883529</v>
      </c>
      <c r="O183" s="213">
        <f t="shared" si="148"/>
        <v>-0.6112563281256024</v>
      </c>
      <c r="P183" s="213">
        <f t="shared" si="148"/>
        <v>-0.6240079955262154</v>
      </c>
      <c r="Q183" s="213">
        <f t="shared" si="148"/>
        <v>-0.6235593628759017</v>
      </c>
      <c r="R183" s="213">
        <f t="shared" si="148"/>
        <v>-0.6022813684549057</v>
      </c>
      <c r="S183" s="213">
        <f t="shared" si="148"/>
        <v>-0.5583128290908135</v>
      </c>
      <c r="T183" s="213">
        <f t="shared" si="148"/>
        <v>-0.5033041084806266</v>
      </c>
      <c r="U183" s="213">
        <f t="shared" si="148"/>
        <v>-0.47208031255057115</v>
      </c>
      <c r="V183" s="213">
        <f t="shared" si="148"/>
        <v>-0.5307787242048413</v>
      </c>
      <c r="W183" s="213">
        <f t="shared" si="148"/>
        <v>-0.7907061745373377</v>
      </c>
      <c r="X183" s="213">
        <f t="shared" si="148"/>
        <v>-1.4531780252923394</v>
      </c>
      <c r="Y183" s="213">
        <f t="shared" si="148"/>
        <v>-2.780041916793154</v>
      </c>
      <c r="Z183" s="213">
        <f t="shared" si="148"/>
        <v>-4.04100464020525</v>
      </c>
      <c r="AA183" s="213"/>
    </row>
    <row r="184" spans="1:27" s="214" customFormat="1" ht="15">
      <c r="A184" s="51" t="s">
        <v>163</v>
      </c>
      <c r="B184" s="213">
        <f>B127</f>
        <v>-3.4481933635055975</v>
      </c>
      <c r="C184" s="213">
        <f>C127</f>
        <v>-1.2500484701800447</v>
      </c>
      <c r="D184" s="213">
        <f aca="true" t="shared" si="149" ref="D184:Z184">D127</f>
        <v>2.021230826548186</v>
      </c>
      <c r="E184" s="213">
        <f t="shared" si="149"/>
        <v>1.3471324452694309</v>
      </c>
      <c r="F184" s="213">
        <f t="shared" si="149"/>
        <v>0.35468613911549834</v>
      </c>
      <c r="G184" s="213">
        <f t="shared" si="149"/>
        <v>0.07557173385367044</v>
      </c>
      <c r="H184" s="213">
        <f t="shared" si="149"/>
        <v>0.032605985082205115</v>
      </c>
      <c r="I184" s="213">
        <f t="shared" si="149"/>
        <v>0.05661970170766032</v>
      </c>
      <c r="J184" s="213">
        <f t="shared" si="149"/>
        <v>0.10071587330537754</v>
      </c>
      <c r="K184" s="213">
        <f t="shared" si="149"/>
        <v>0.14238150117798562</v>
      </c>
      <c r="L184" s="213">
        <f t="shared" si="149"/>
        <v>0.1678973733789113</v>
      </c>
      <c r="M184" s="213">
        <f t="shared" si="149"/>
        <v>0.17302401208600687</v>
      </c>
      <c r="N184" s="213">
        <f t="shared" si="149"/>
        <v>0.16212964108492428</v>
      </c>
      <c r="O184" s="213">
        <f t="shared" si="149"/>
        <v>0.1445078399135237</v>
      </c>
      <c r="P184" s="213">
        <f t="shared" si="149"/>
        <v>0.13083335079246441</v>
      </c>
      <c r="Q184" s="213">
        <f t="shared" si="149"/>
        <v>0.1313144504089565</v>
      </c>
      <c r="R184" s="213">
        <f t="shared" si="149"/>
        <v>0.15413230583811216</v>
      </c>
      <c r="S184" s="213">
        <f t="shared" si="149"/>
        <v>0.2012827916776535</v>
      </c>
      <c r="T184" s="213">
        <f t="shared" si="149"/>
        <v>0.2602724224385077</v>
      </c>
      <c r="U184" s="213">
        <f t="shared" si="149"/>
        <v>0.2937558442020951</v>
      </c>
      <c r="V184" s="213">
        <f t="shared" si="149"/>
        <v>0.23080950421590782</v>
      </c>
      <c r="W184" s="213">
        <f t="shared" si="149"/>
        <v>-0.04792856039715612</v>
      </c>
      <c r="X184" s="213">
        <f t="shared" si="149"/>
        <v>-0.7583426444189616</v>
      </c>
      <c r="Y184" s="213">
        <f t="shared" si="149"/>
        <v>-2.181229964126021</v>
      </c>
      <c r="Z184" s="213">
        <f t="shared" si="149"/>
        <v>-3.5334469332206604</v>
      </c>
      <c r="AA184" s="213"/>
    </row>
    <row r="185" ht="15">
      <c r="A185" s="71"/>
    </row>
    <row r="186" spans="1:27" s="114" customFormat="1" ht="15">
      <c r="A186" s="245" t="s">
        <v>165</v>
      </c>
      <c r="B186" s="215"/>
      <c r="C186" s="215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93"/>
    </row>
    <row r="187" spans="1:27" s="114" customFormat="1" ht="15">
      <c r="A187" s="72" t="s">
        <v>167</v>
      </c>
      <c r="B187" s="113">
        <f>$I$10+(B122-$F$7)</f>
        <v>2.5</v>
      </c>
      <c r="C187" s="113">
        <f aca="true" t="shared" si="150" ref="C187:Z187">$I$10+(C122-$F$7)</f>
        <v>2.317353700653238</v>
      </c>
      <c r="D187" s="113">
        <f t="shared" si="150"/>
        <v>2.1084368616770095</v>
      </c>
      <c r="E187" s="113">
        <f t="shared" si="150"/>
        <v>2.025031560476999</v>
      </c>
      <c r="F187" s="113">
        <f t="shared" si="150"/>
        <v>2.042147654042197</v>
      </c>
      <c r="G187" s="113">
        <f t="shared" si="150"/>
        <v>2.0841728153233294</v>
      </c>
      <c r="H187" s="113">
        <f t="shared" si="150"/>
        <v>2.1085186212566227</v>
      </c>
      <c r="I187" s="113">
        <f t="shared" si="150"/>
        <v>2.1004970140781736</v>
      </c>
      <c r="J187" s="113">
        <f t="shared" si="150"/>
        <v>2.060230416132719</v>
      </c>
      <c r="K187" s="113">
        <f t="shared" si="150"/>
        <v>1.9951090912676808</v>
      </c>
      <c r="L187" s="113">
        <f t="shared" si="150"/>
        <v>1.91557919189058</v>
      </c>
      <c r="M187" s="113">
        <f t="shared" si="150"/>
        <v>1.832624784566495</v>
      </c>
      <c r="N187" s="113">
        <f t="shared" si="150"/>
        <v>1.7563245685319009</v>
      </c>
      <c r="O187" s="113">
        <f t="shared" si="150"/>
        <v>1.6952159842363663</v>
      </c>
      <c r="P187" s="113">
        <f t="shared" si="150"/>
        <v>1.656233254183495</v>
      </c>
      <c r="Q187" s="113">
        <f t="shared" si="150"/>
        <v>1.6449390372734856</v>
      </c>
      <c r="R187" s="113">
        <f t="shared" si="150"/>
        <v>1.665741781172641</v>
      </c>
      <c r="S187" s="113">
        <f t="shared" si="150"/>
        <v>1.7218020975612292</v>
      </c>
      <c r="T187" s="113">
        <f t="shared" si="150"/>
        <v>1.8143919936484751</v>
      </c>
      <c r="U187" s="113">
        <f t="shared" si="150"/>
        <v>1.9416196275835995</v>
      </c>
      <c r="V187" s="113">
        <f t="shared" si="150"/>
        <v>2.09664062664916</v>
      </c>
      <c r="W187" s="113">
        <f t="shared" si="150"/>
        <v>2.265388686694793</v>
      </c>
      <c r="X187" s="113">
        <f t="shared" si="150"/>
        <v>2.422709058012899</v>
      </c>
      <c r="Y187" s="113">
        <f t="shared" si="150"/>
        <v>2.5240401839264255</v>
      </c>
      <c r="Z187" s="113">
        <f t="shared" si="150"/>
        <v>2.5</v>
      </c>
      <c r="AA187" s="93"/>
    </row>
    <row r="188" spans="1:27" s="114" customFormat="1" ht="15">
      <c r="A188" s="72" t="s">
        <v>168</v>
      </c>
      <c r="B188" s="113">
        <f>$J$10+(B123-$G$7)</f>
        <v>1.2</v>
      </c>
      <c r="C188" s="113">
        <f aca="true" t="shared" si="151" ref="C188:Z188">$J$10+(C123-$G$7)</f>
        <v>1.0041358235787319</v>
      </c>
      <c r="D188" s="113">
        <f t="shared" si="151"/>
        <v>0.7800999424633603</v>
      </c>
      <c r="E188" s="113">
        <f t="shared" si="151"/>
        <v>0.6906587072062831</v>
      </c>
      <c r="F188" s="113">
        <f t="shared" si="151"/>
        <v>0.7090134703834547</v>
      </c>
      <c r="G188" s="113">
        <f t="shared" si="151"/>
        <v>0.7540799383750836</v>
      </c>
      <c r="H188" s="113">
        <f t="shared" si="151"/>
        <v>0.7801876188782806</v>
      </c>
      <c r="I188" s="113">
        <f t="shared" si="151"/>
        <v>0.7715854983360024</v>
      </c>
      <c r="J188" s="113">
        <f t="shared" si="151"/>
        <v>0.7284048586401528</v>
      </c>
      <c r="K188" s="113">
        <f t="shared" si="151"/>
        <v>0.658570787499533</v>
      </c>
      <c r="L188" s="113">
        <f t="shared" si="151"/>
        <v>0.5732854118961195</v>
      </c>
      <c r="M188" s="113">
        <f t="shared" si="151"/>
        <v>0.48432770112312773</v>
      </c>
      <c r="N188" s="113">
        <f t="shared" si="151"/>
        <v>0.40250573687950664</v>
      </c>
      <c r="O188" s="113">
        <f t="shared" si="151"/>
        <v>0.33697480316706874</v>
      </c>
      <c r="P188" s="113">
        <f t="shared" si="151"/>
        <v>0.2951709432270302</v>
      </c>
      <c r="Q188" s="113">
        <f t="shared" si="151"/>
        <v>0.2830593784085045</v>
      </c>
      <c r="R188" s="113">
        <f t="shared" si="151"/>
        <v>0.30536759004861636</v>
      </c>
      <c r="S188" s="113">
        <f t="shared" si="151"/>
        <v>0.36548491921782156</v>
      </c>
      <c r="T188" s="113">
        <f t="shared" si="151"/>
        <v>0.46477542664622207</v>
      </c>
      <c r="U188" s="113">
        <f t="shared" si="151"/>
        <v>0.601210360328724</v>
      </c>
      <c r="V188" s="113">
        <f t="shared" si="151"/>
        <v>0.7674500291233957</v>
      </c>
      <c r="W188" s="113">
        <f t="shared" si="151"/>
        <v>0.9484101685937005</v>
      </c>
      <c r="X188" s="113">
        <f t="shared" si="151"/>
        <v>1.1171156122447001</v>
      </c>
      <c r="Y188" s="113">
        <f t="shared" si="151"/>
        <v>1.2257799410259371</v>
      </c>
      <c r="Z188" s="113">
        <f t="shared" si="151"/>
        <v>1.2</v>
      </c>
      <c r="AA188" s="93"/>
    </row>
    <row r="189" spans="1:27" s="114" customFormat="1" ht="15">
      <c r="A189" s="73" t="s">
        <v>169</v>
      </c>
      <c r="B189" s="113">
        <f>B124</f>
        <v>-1.1437422333898046</v>
      </c>
      <c r="C189" s="113">
        <f aca="true" t="shared" si="152" ref="C189:Z189">C124</f>
        <v>-1.6860055870652861</v>
      </c>
      <c r="D189" s="113">
        <f t="shared" si="152"/>
        <v>-1.425160227190829</v>
      </c>
      <c r="E189" s="113">
        <f t="shared" si="152"/>
        <v>-0.8771410308649065</v>
      </c>
      <c r="F189" s="113">
        <f t="shared" si="152"/>
        <v>-0.6361578192167654</v>
      </c>
      <c r="G189" s="113">
        <f t="shared" si="152"/>
        <v>-0.5927297335562697</v>
      </c>
      <c r="H189" s="113">
        <f t="shared" si="152"/>
        <v>-0.6128770477908352</v>
      </c>
      <c r="I189" s="113">
        <f t="shared" si="152"/>
        <v>-0.6478080799878083</v>
      </c>
      <c r="J189" s="113">
        <f t="shared" si="152"/>
        <v>-0.6772490545584176</v>
      </c>
      <c r="K189" s="113">
        <f t="shared" si="152"/>
        <v>-0.6920364882613299</v>
      </c>
      <c r="L189" s="113">
        <f t="shared" si="152"/>
        <v>-0.6907242959984667</v>
      </c>
      <c r="M189" s="113">
        <f t="shared" si="152"/>
        <v>-0.6771162515720002</v>
      </c>
      <c r="N189" s="113">
        <f t="shared" si="152"/>
        <v>-0.6567448391188164</v>
      </c>
      <c r="O189" s="113">
        <f t="shared" si="152"/>
        <v>-0.6332643220276701</v>
      </c>
      <c r="P189" s="113">
        <f t="shared" si="152"/>
        <v>-0.606025264624088</v>
      </c>
      <c r="Q189" s="113">
        <f t="shared" si="152"/>
        <v>-0.5698846499993133</v>
      </c>
      <c r="R189" s="113">
        <f t="shared" si="152"/>
        <v>-0.5175047082192885</v>
      </c>
      <c r="S189" s="113">
        <f t="shared" si="152"/>
        <v>-0.44308387479013966</v>
      </c>
      <c r="T189" s="113">
        <f t="shared" si="152"/>
        <v>-0.34639197064377636</v>
      </c>
      <c r="U189" s="113">
        <f t="shared" si="152"/>
        <v>-0.23688288630030174</v>
      </c>
      <c r="V189" s="113">
        <f t="shared" si="152"/>
        <v>-0.1376729603794069</v>
      </c>
      <c r="W189" s="113">
        <f t="shared" si="152"/>
        <v>-0.09029809010237833</v>
      </c>
      <c r="X189" s="113">
        <f t="shared" si="152"/>
        <v>-0.1665345718599145</v>
      </c>
      <c r="Y189" s="113">
        <f t="shared" si="152"/>
        <v>-0.48905268863203943</v>
      </c>
      <c r="Z189" s="113">
        <f t="shared" si="152"/>
        <v>-1.1471005585240364</v>
      </c>
      <c r="AA189" s="93"/>
    </row>
    <row r="190" spans="1:27" s="114" customFormat="1" ht="15">
      <c r="A190" s="73" t="s">
        <v>170</v>
      </c>
      <c r="B190" s="113">
        <f>B125</f>
        <v>-0.4265133834209744</v>
      </c>
      <c r="C190" s="113">
        <f aca="true" t="shared" si="153" ref="C190:Z190">C125</f>
        <v>-1.0080196364956084</v>
      </c>
      <c r="D190" s="113">
        <f t="shared" si="153"/>
        <v>-0.7282972344111129</v>
      </c>
      <c r="E190" s="113">
        <f t="shared" si="153"/>
        <v>-0.14061859577831992</v>
      </c>
      <c r="F190" s="113">
        <f t="shared" si="153"/>
        <v>0.11780426003440213</v>
      </c>
      <c r="G190" s="113">
        <f t="shared" si="153"/>
        <v>0.16437518023298925</v>
      </c>
      <c r="H190" s="113">
        <f t="shared" si="153"/>
        <v>0.14276983085680628</v>
      </c>
      <c r="I190" s="113">
        <f t="shared" si="153"/>
        <v>0.10531088491990762</v>
      </c>
      <c r="J190" s="113">
        <f t="shared" si="153"/>
        <v>0.07373930499775397</v>
      </c>
      <c r="K190" s="113">
        <f t="shared" si="153"/>
        <v>0.057881723793186346</v>
      </c>
      <c r="L190" s="113">
        <f t="shared" si="153"/>
        <v>0.059288877717417476</v>
      </c>
      <c r="M190" s="113">
        <f t="shared" si="153"/>
        <v>0.07388171876498578</v>
      </c>
      <c r="N190" s="113">
        <f t="shared" si="153"/>
        <v>0.09572738405878711</v>
      </c>
      <c r="O190" s="113">
        <f t="shared" si="153"/>
        <v>0.12090715588253242</v>
      </c>
      <c r="P190" s="113">
        <f t="shared" si="153"/>
        <v>0.15011746873269982</v>
      </c>
      <c r="Q190" s="113">
        <f t="shared" si="153"/>
        <v>0.18887353301736878</v>
      </c>
      <c r="R190" s="113">
        <f t="shared" si="153"/>
        <v>0.24504414361518173</v>
      </c>
      <c r="S190" s="113">
        <f t="shared" si="153"/>
        <v>0.32485071675856036</v>
      </c>
      <c r="T190" s="113">
        <f t="shared" si="153"/>
        <v>0.4285400892778259</v>
      </c>
      <c r="U190" s="113">
        <f t="shared" si="153"/>
        <v>0.545974204791222</v>
      </c>
      <c r="V190" s="113">
        <f t="shared" si="153"/>
        <v>0.6523638250726564</v>
      </c>
      <c r="W190" s="113">
        <f t="shared" si="153"/>
        <v>0.7031671535992202</v>
      </c>
      <c r="X190" s="113">
        <f t="shared" si="153"/>
        <v>0.621413536000071</v>
      </c>
      <c r="Y190" s="113">
        <f t="shared" si="153"/>
        <v>0.27555519915755683</v>
      </c>
      <c r="Z190" s="113">
        <f t="shared" si="153"/>
        <v>-0.43011474621301427</v>
      </c>
      <c r="AA190" s="93"/>
    </row>
    <row r="191" spans="1:27" s="114" customFormat="1" ht="15">
      <c r="A191" s="73" t="s">
        <v>171</v>
      </c>
      <c r="B191" s="113">
        <f>B126</f>
        <v>-3.9615044002988657</v>
      </c>
      <c r="C191" s="113">
        <f aca="true" t="shared" si="154" ref="C191:Z191">C126</f>
        <v>-1.911701125756326</v>
      </c>
      <c r="D191" s="113">
        <f t="shared" si="154"/>
        <v>1.1388161694125487</v>
      </c>
      <c r="E191" s="113">
        <f t="shared" si="154"/>
        <v>0.5102092593291327</v>
      </c>
      <c r="F191" s="113">
        <f t="shared" si="154"/>
        <v>-0.41526189334100594</v>
      </c>
      <c r="G191" s="113">
        <f t="shared" si="154"/>
        <v>-0.6755402870060013</v>
      </c>
      <c r="H191" s="113">
        <f t="shared" si="154"/>
        <v>-0.7156064959225937</v>
      </c>
      <c r="I191" s="113">
        <f t="shared" si="154"/>
        <v>-0.6932133428951219</v>
      </c>
      <c r="J191" s="113">
        <f t="shared" si="154"/>
        <v>-0.6520929976393355</v>
      </c>
      <c r="K191" s="113">
        <f t="shared" si="154"/>
        <v>-0.6132391710747306</v>
      </c>
      <c r="L191" s="113">
        <f t="shared" si="154"/>
        <v>-0.5894452353114071</v>
      </c>
      <c r="M191" s="113">
        <f t="shared" si="154"/>
        <v>-0.5846645673758629</v>
      </c>
      <c r="N191" s="113">
        <f t="shared" si="154"/>
        <v>-0.5948237326883529</v>
      </c>
      <c r="O191" s="113">
        <f t="shared" si="154"/>
        <v>-0.6112563281256024</v>
      </c>
      <c r="P191" s="113">
        <f t="shared" si="154"/>
        <v>-0.6240079955262154</v>
      </c>
      <c r="Q191" s="113">
        <f t="shared" si="154"/>
        <v>-0.6235593628759017</v>
      </c>
      <c r="R191" s="113">
        <f t="shared" si="154"/>
        <v>-0.6022813684549057</v>
      </c>
      <c r="S191" s="113">
        <f t="shared" si="154"/>
        <v>-0.5583128290908135</v>
      </c>
      <c r="T191" s="113">
        <f t="shared" si="154"/>
        <v>-0.5033041084806266</v>
      </c>
      <c r="U191" s="113">
        <f t="shared" si="154"/>
        <v>-0.47208031255057115</v>
      </c>
      <c r="V191" s="113">
        <f t="shared" si="154"/>
        <v>-0.5307787242048413</v>
      </c>
      <c r="W191" s="113">
        <f t="shared" si="154"/>
        <v>-0.7907061745373377</v>
      </c>
      <c r="X191" s="113">
        <f t="shared" si="154"/>
        <v>-1.4531780252923394</v>
      </c>
      <c r="Y191" s="113">
        <f t="shared" si="154"/>
        <v>-2.780041916793154</v>
      </c>
      <c r="Z191" s="113">
        <f t="shared" si="154"/>
        <v>-4.04100464020525</v>
      </c>
      <c r="AA191" s="93"/>
    </row>
    <row r="192" spans="1:27" s="114" customFormat="1" ht="15">
      <c r="A192" s="73" t="s">
        <v>172</v>
      </c>
      <c r="B192" s="113">
        <f>B127</f>
        <v>-3.4481933635055975</v>
      </c>
      <c r="C192" s="113">
        <f aca="true" t="shared" si="155" ref="C192:Z192">C127</f>
        <v>-1.2500484701800447</v>
      </c>
      <c r="D192" s="113">
        <f t="shared" si="155"/>
        <v>2.021230826548186</v>
      </c>
      <c r="E192" s="113">
        <f t="shared" si="155"/>
        <v>1.3471324452694309</v>
      </c>
      <c r="F192" s="113">
        <f t="shared" si="155"/>
        <v>0.35468613911549834</v>
      </c>
      <c r="G192" s="113">
        <f t="shared" si="155"/>
        <v>0.07557173385367044</v>
      </c>
      <c r="H192" s="113">
        <f t="shared" si="155"/>
        <v>0.032605985082205115</v>
      </c>
      <c r="I192" s="113">
        <f t="shared" si="155"/>
        <v>0.05661970170766032</v>
      </c>
      <c r="J192" s="113">
        <f t="shared" si="155"/>
        <v>0.10071587330537754</v>
      </c>
      <c r="K192" s="113">
        <f t="shared" si="155"/>
        <v>0.14238150117798562</v>
      </c>
      <c r="L192" s="113">
        <f t="shared" si="155"/>
        <v>0.1678973733789113</v>
      </c>
      <c r="M192" s="113">
        <f t="shared" si="155"/>
        <v>0.17302401208600687</v>
      </c>
      <c r="N192" s="113">
        <f t="shared" si="155"/>
        <v>0.16212964108492428</v>
      </c>
      <c r="O192" s="113">
        <f t="shared" si="155"/>
        <v>0.1445078399135237</v>
      </c>
      <c r="P192" s="113">
        <f t="shared" si="155"/>
        <v>0.13083335079246441</v>
      </c>
      <c r="Q192" s="113">
        <f t="shared" si="155"/>
        <v>0.1313144504089565</v>
      </c>
      <c r="R192" s="113">
        <f t="shared" si="155"/>
        <v>0.15413230583811216</v>
      </c>
      <c r="S192" s="113">
        <f t="shared" si="155"/>
        <v>0.2012827916776535</v>
      </c>
      <c r="T192" s="113">
        <f t="shared" si="155"/>
        <v>0.2602724224385077</v>
      </c>
      <c r="U192" s="113">
        <f t="shared" si="155"/>
        <v>0.2937558442020951</v>
      </c>
      <c r="V192" s="113">
        <f t="shared" si="155"/>
        <v>0.23080950421590782</v>
      </c>
      <c r="W192" s="113">
        <f t="shared" si="155"/>
        <v>-0.04792856039715612</v>
      </c>
      <c r="X192" s="113">
        <f t="shared" si="155"/>
        <v>-0.7583426444189616</v>
      </c>
      <c r="Y192" s="113">
        <f t="shared" si="155"/>
        <v>-2.181229964126021</v>
      </c>
      <c r="Z192" s="113">
        <f t="shared" si="155"/>
        <v>-3.5334469332206604</v>
      </c>
      <c r="AA192" s="93"/>
    </row>
    <row r="193" spans="1:27" s="216" customFormat="1" ht="15">
      <c r="A193" s="74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6"/>
    </row>
    <row r="194" spans="1:27" s="216" customFormat="1" ht="15">
      <c r="A194" s="74" t="s">
        <v>180</v>
      </c>
      <c r="B194" s="205">
        <f>$Q$5*(B187-$I$10)+$R$5*(B187-$I$10)+$S$5*(B188-$J$10)</f>
        <v>0</v>
      </c>
      <c r="C194" s="205">
        <f aca="true" t="shared" si="156" ref="C194:Z194">$Q$5*(C187-$I$10)+$R$5*(C187-$I$10)+T5*(C188-$J$10)</f>
        <v>-0.511409638170934</v>
      </c>
      <c r="D194" s="205">
        <f t="shared" si="156"/>
        <v>-1.0963767873043735</v>
      </c>
      <c r="E194" s="205">
        <f t="shared" si="156"/>
        <v>-1.3299116306644032</v>
      </c>
      <c r="F194" s="205">
        <f t="shared" si="156"/>
        <v>-1.281986568681849</v>
      </c>
      <c r="G194" s="205">
        <f t="shared" si="156"/>
        <v>-1.1643161170946776</v>
      </c>
      <c r="H194" s="205">
        <f t="shared" si="156"/>
        <v>-1.0961478604814565</v>
      </c>
      <c r="I194" s="205">
        <f t="shared" si="156"/>
        <v>-1.118608360581114</v>
      </c>
      <c r="J194" s="205">
        <f t="shared" si="156"/>
        <v>-1.2313548348283863</v>
      </c>
      <c r="K194" s="205">
        <f t="shared" si="156"/>
        <v>-1.4136945444504938</v>
      </c>
      <c r="L194" s="205">
        <f t="shared" si="156"/>
        <v>-1.6363782627063759</v>
      </c>
      <c r="M194" s="205">
        <f t="shared" si="156"/>
        <v>-1.8686506032138142</v>
      </c>
      <c r="N194" s="205">
        <f t="shared" si="156"/>
        <v>-2.0822912081106777</v>
      </c>
      <c r="O194" s="205">
        <f t="shared" si="156"/>
        <v>-2.2533952441381744</v>
      </c>
      <c r="P194" s="205">
        <f t="shared" si="156"/>
        <v>-2.362546888286214</v>
      </c>
      <c r="Q194" s="205">
        <f t="shared" si="156"/>
        <v>-2.3941706956342403</v>
      </c>
      <c r="R194" s="205">
        <f t="shared" si="156"/>
        <v>-2.3359230127166053</v>
      </c>
      <c r="S194" s="205">
        <f t="shared" si="156"/>
        <v>-2.1789541268285584</v>
      </c>
      <c r="T194" s="205">
        <f t="shared" si="156"/>
        <v>-1.9197024177842696</v>
      </c>
      <c r="U194" s="205">
        <f t="shared" si="156"/>
        <v>-1.5634650427659214</v>
      </c>
      <c r="V194" s="205">
        <f t="shared" si="156"/>
        <v>-1.1294062453823521</v>
      </c>
      <c r="W194" s="205">
        <f t="shared" si="156"/>
        <v>-0.656911677254579</v>
      </c>
      <c r="X194" s="205">
        <f t="shared" si="156"/>
        <v>-0.21641463756388238</v>
      </c>
      <c r="Y194" s="205">
        <f t="shared" si="156"/>
        <v>0.06731251499399135</v>
      </c>
      <c r="Z194" s="205">
        <f t="shared" si="156"/>
        <v>0</v>
      </c>
      <c r="AA194" s="6"/>
    </row>
    <row r="195" spans="1:27" s="216" customFormat="1" ht="15">
      <c r="A195" s="74" t="s">
        <v>181</v>
      </c>
      <c r="B195" s="205">
        <f>$Q$6*(B20-$B$20)+R6*(B20-$B$20)^2-$S$6*(B20-$B$20)</f>
        <v>0</v>
      </c>
      <c r="C195" s="205">
        <f aca="true" t="shared" si="157" ref="C195:Z195">$Q$6*(C20-$B$20)+S6*(C20-$B$20)^2-$S$6*(C20-$B$20)</f>
        <v>-1.551702009721432</v>
      </c>
      <c r="D195" s="205">
        <f t="shared" si="157"/>
        <v>-4.241150082346221</v>
      </c>
      <c r="E195" s="205">
        <f t="shared" si="157"/>
        <v>-6.3617251235193315</v>
      </c>
      <c r="F195" s="205">
        <f t="shared" si="157"/>
        <v>-8.482300164692441</v>
      </c>
      <c r="G195" s="205">
        <f t="shared" si="157"/>
        <v>-10.602875205865553</v>
      </c>
      <c r="H195" s="205">
        <f t="shared" si="157"/>
        <v>-12.723450247038663</v>
      </c>
      <c r="I195" s="205">
        <f t="shared" si="157"/>
        <v>-14.844025288211775</v>
      </c>
      <c r="J195" s="205">
        <f t="shared" si="157"/>
        <v>-16.964600329384883</v>
      </c>
      <c r="K195" s="205">
        <f t="shared" si="157"/>
        <v>-19.085175370557995</v>
      </c>
      <c r="L195" s="205">
        <f t="shared" si="157"/>
        <v>-21.205750411731106</v>
      </c>
      <c r="M195" s="205">
        <f t="shared" si="157"/>
        <v>-23.326325452904214</v>
      </c>
      <c r="N195" s="205">
        <f t="shared" si="157"/>
        <v>-25.446900494077326</v>
      </c>
      <c r="O195" s="205">
        <f t="shared" si="157"/>
        <v>-27.567475535250438</v>
      </c>
      <c r="P195" s="205">
        <f t="shared" si="157"/>
        <v>-29.68805057642355</v>
      </c>
      <c r="Q195" s="205">
        <f t="shared" si="157"/>
        <v>-31.808625617596658</v>
      </c>
      <c r="R195" s="205">
        <f t="shared" si="157"/>
        <v>-33.929200658769766</v>
      </c>
      <c r="S195" s="205">
        <f t="shared" si="157"/>
        <v>-36.049775699942884</v>
      </c>
      <c r="T195" s="205">
        <f t="shared" si="157"/>
        <v>-38.17035074111599</v>
      </c>
      <c r="U195" s="205">
        <f t="shared" si="157"/>
        <v>-40.2909257822891</v>
      </c>
      <c r="V195" s="205">
        <f t="shared" si="157"/>
        <v>-42.41150082346221</v>
      </c>
      <c r="W195" s="205">
        <f t="shared" si="157"/>
        <v>-44.532075864635324</v>
      </c>
      <c r="X195" s="205">
        <f t="shared" si="157"/>
        <v>-46.65265090580843</v>
      </c>
      <c r="Y195" s="205">
        <f t="shared" si="157"/>
        <v>-48.77322594698155</v>
      </c>
      <c r="Z195" s="205">
        <f t="shared" si="157"/>
        <v>-50.89380098815465</v>
      </c>
      <c r="AA195" s="6"/>
    </row>
    <row r="196" spans="1:27" s="216" customFormat="1" ht="15">
      <c r="A196" s="74" t="s">
        <v>182</v>
      </c>
      <c r="B196" s="205">
        <v>0</v>
      </c>
      <c r="C196" s="205">
        <v>0</v>
      </c>
      <c r="D196" s="205">
        <v>0</v>
      </c>
      <c r="E196" s="205">
        <v>0</v>
      </c>
      <c r="F196" s="205">
        <v>0</v>
      </c>
      <c r="G196" s="205">
        <v>0</v>
      </c>
      <c r="H196" s="205">
        <v>0</v>
      </c>
      <c r="I196" s="205">
        <v>0</v>
      </c>
      <c r="J196" s="205">
        <v>0</v>
      </c>
      <c r="K196" s="205">
        <v>0</v>
      </c>
      <c r="L196" s="205">
        <v>0</v>
      </c>
      <c r="M196" s="205">
        <v>0</v>
      </c>
      <c r="N196" s="205">
        <v>0</v>
      </c>
      <c r="O196" s="205">
        <v>0</v>
      </c>
      <c r="P196" s="205">
        <v>0</v>
      </c>
      <c r="Q196" s="205">
        <v>0</v>
      </c>
      <c r="R196" s="205">
        <v>0</v>
      </c>
      <c r="S196" s="205">
        <v>0</v>
      </c>
      <c r="T196" s="205">
        <v>0</v>
      </c>
      <c r="U196" s="205">
        <v>0</v>
      </c>
      <c r="V196" s="205">
        <v>0</v>
      </c>
      <c r="W196" s="205">
        <v>0</v>
      </c>
      <c r="X196" s="205">
        <v>0</v>
      </c>
      <c r="Y196" s="205">
        <v>0</v>
      </c>
      <c r="Z196" s="205">
        <v>0</v>
      </c>
      <c r="AA196" s="6"/>
    </row>
    <row r="197" spans="1:27" s="216" customFormat="1" ht="15">
      <c r="A197" s="74" t="s">
        <v>189</v>
      </c>
      <c r="B197" s="205">
        <f>B194*B189+B195*B190+B196*0</f>
        <v>0</v>
      </c>
      <c r="C197" s="205">
        <f aca="true" t="shared" si="158" ref="C197:Z197">C194*C189+C195*C190+C196*0</f>
        <v>2.4263856030241344</v>
      </c>
      <c r="D197" s="205">
        <f t="shared" si="158"/>
        <v>4.651330466976669</v>
      </c>
      <c r="E197" s="205">
        <f t="shared" si="158"/>
        <v>2.0610969122771508</v>
      </c>
      <c r="F197" s="205">
        <f t="shared" si="158"/>
        <v>-0.1837053144934513</v>
      </c>
      <c r="G197" s="205">
        <f t="shared" si="158"/>
        <v>-1.0527247410912446</v>
      </c>
      <c r="H197" s="205">
        <f t="shared" si="158"/>
        <v>-1.1447209750105847</v>
      </c>
      <c r="I197" s="205">
        <f t="shared" si="158"/>
        <v>-0.8385939045487073</v>
      </c>
      <c r="J197" s="205">
        <f t="shared" si="158"/>
        <v>-0.4170239401400483</v>
      </c>
      <c r="K197" s="205">
        <f t="shared" si="158"/>
        <v>-0.12635464132744034</v>
      </c>
      <c r="L197" s="205">
        <f t="shared" si="158"/>
        <v>-0.12697891957214535</v>
      </c>
      <c r="M197" s="205">
        <f t="shared" si="158"/>
        <v>-0.45809532498610395</v>
      </c>
      <c r="N197" s="205">
        <f t="shared" si="158"/>
        <v>-1.0684312122331068</v>
      </c>
      <c r="O197" s="205">
        <f t="shared" si="158"/>
        <v>-1.9061102502888863</v>
      </c>
      <c r="P197" s="205">
        <f t="shared" si="158"/>
        <v>-3.0249319009806044</v>
      </c>
      <c r="Q197" s="205">
        <f t="shared" si="158"/>
        <v>-4.643406371902134</v>
      </c>
      <c r="R197" s="205">
        <f t="shared" si="158"/>
        <v>-7.1053007618572686</v>
      </c>
      <c r="S197" s="205">
        <f t="shared" si="158"/>
        <v>-10.745336037606615</v>
      </c>
      <c r="T197" s="205">
        <f t="shared" si="158"/>
        <v>-15.692556010817857</v>
      </c>
      <c r="U197" s="205">
        <f t="shared" si="158"/>
        <v>-21.627448052327424</v>
      </c>
      <c r="V197" s="205">
        <f t="shared" si="158"/>
        <v>-27.512240202993148</v>
      </c>
      <c r="W197" s="205">
        <f t="shared" si="158"/>
        <v>-31.254175159778114</v>
      </c>
      <c r="X197" s="205">
        <f t="shared" si="158"/>
        <v>-28.95454824414441</v>
      </c>
      <c r="Y197" s="205">
        <f t="shared" si="158"/>
        <v>-13.472635355813415</v>
      </c>
      <c r="Z197" s="205">
        <f t="shared" si="158"/>
        <v>21.89017429583579</v>
      </c>
      <c r="AA197" s="6"/>
    </row>
    <row r="198" spans="1:27" s="216" customFormat="1" ht="15.75">
      <c r="A198" s="10" t="s">
        <v>183</v>
      </c>
      <c r="B198" s="217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6"/>
    </row>
    <row r="199" spans="1:27" s="216" customFormat="1" ht="15.75">
      <c r="A199" s="77" t="s">
        <v>184</v>
      </c>
      <c r="B199" s="104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6"/>
    </row>
    <row r="200" spans="1:27" s="216" customFormat="1" ht="15.75">
      <c r="A200" s="75" t="s">
        <v>185</v>
      </c>
      <c r="B200" s="205">
        <f>B194+B170</f>
        <v>-9.507610560717277</v>
      </c>
      <c r="C200" s="205">
        <f aca="true" t="shared" si="159" ref="C200:Z200">C194+C170</f>
        <v>-5.099492339986116</v>
      </c>
      <c r="D200" s="205">
        <f t="shared" si="159"/>
        <v>1.6367820192857434</v>
      </c>
      <c r="E200" s="205">
        <f t="shared" si="159"/>
        <v>-0.10540940827448475</v>
      </c>
      <c r="F200" s="205">
        <f t="shared" si="159"/>
        <v>-2.278615112700263</v>
      </c>
      <c r="G200" s="205">
        <f t="shared" si="159"/>
        <v>-2.785612805909081</v>
      </c>
      <c r="H200" s="205">
        <f t="shared" si="159"/>
        <v>-2.8136034506956813</v>
      </c>
      <c r="I200" s="205">
        <f t="shared" si="159"/>
        <v>-2.782320383529407</v>
      </c>
      <c r="J200" s="205">
        <f t="shared" si="159"/>
        <v>-2.796378029162791</v>
      </c>
      <c r="K200" s="205">
        <f t="shared" si="159"/>
        <v>-2.8854685550298473</v>
      </c>
      <c r="L200" s="205">
        <f t="shared" si="159"/>
        <v>-3.051046827453753</v>
      </c>
      <c r="M200" s="205">
        <f t="shared" si="159"/>
        <v>-3.271845564915885</v>
      </c>
      <c r="N200" s="205">
        <f t="shared" si="159"/>
        <v>-3.5098681665627245</v>
      </c>
      <c r="O200" s="205">
        <f t="shared" si="159"/>
        <v>-3.7204104316396203</v>
      </c>
      <c r="P200" s="205">
        <f t="shared" si="159"/>
        <v>-3.860166077549131</v>
      </c>
      <c r="Q200" s="205">
        <f t="shared" si="159"/>
        <v>-3.8907131665364045</v>
      </c>
      <c r="R200" s="205">
        <f t="shared" si="159"/>
        <v>-3.781398297008379</v>
      </c>
      <c r="S200" s="205">
        <f t="shared" si="159"/>
        <v>-3.5189049166465107</v>
      </c>
      <c r="T200" s="205">
        <f t="shared" si="159"/>
        <v>-3.1276322781377734</v>
      </c>
      <c r="U200" s="205">
        <f t="shared" si="159"/>
        <v>-2.6964577928872924</v>
      </c>
      <c r="V200" s="205">
        <f t="shared" si="159"/>
        <v>-2.403275183473971</v>
      </c>
      <c r="W200" s="205">
        <f t="shared" si="159"/>
        <v>-2.5546064961441894</v>
      </c>
      <c r="X200" s="205">
        <f t="shared" si="159"/>
        <v>-3.704041898265497</v>
      </c>
      <c r="Y200" s="205">
        <f t="shared" si="159"/>
        <v>-6.604788085309578</v>
      </c>
      <c r="Z200" s="205">
        <f t="shared" si="159"/>
        <v>-9.698411136492599</v>
      </c>
      <c r="AA200" s="6"/>
    </row>
    <row r="201" spans="1:27" s="216" customFormat="1" ht="15.75">
      <c r="A201" s="75" t="s">
        <v>188</v>
      </c>
      <c r="B201" s="205">
        <f>B171+B195+$L$9</f>
        <v>15.268335927586566</v>
      </c>
      <c r="C201" s="205">
        <f aca="true" t="shared" si="160" ref="C201:Z201">C171+C195+$L$9</f>
        <v>18.992181661846463</v>
      </c>
      <c r="D201" s="205">
        <f t="shared" si="160"/>
        <v>24.153803901369425</v>
      </c>
      <c r="E201" s="205">
        <f t="shared" si="160"/>
        <v>20.415392745127303</v>
      </c>
      <c r="F201" s="205">
        <f t="shared" si="160"/>
        <v>15.912946569184754</v>
      </c>
      <c r="G201" s="205">
        <f t="shared" si="160"/>
        <v>13.122496955383257</v>
      </c>
      <c r="H201" s="205">
        <f t="shared" si="160"/>
        <v>10.89880411715863</v>
      </c>
      <c r="I201" s="205">
        <f t="shared" si="160"/>
        <v>8.83586199588661</v>
      </c>
      <c r="J201" s="205">
        <f t="shared" si="160"/>
        <v>6.821117766548024</v>
      </c>
      <c r="K201" s="205">
        <f t="shared" si="160"/>
        <v>4.800540232269171</v>
      </c>
      <c r="L201" s="205">
        <f t="shared" si="160"/>
        <v>2.741203284378283</v>
      </c>
      <c r="M201" s="205">
        <f t="shared" si="160"/>
        <v>0.6329321761022015</v>
      </c>
      <c r="N201" s="205">
        <f t="shared" si="160"/>
        <v>-1.5137893554735058</v>
      </c>
      <c r="O201" s="205">
        <f t="shared" si="160"/>
        <v>-3.6766567194579807</v>
      </c>
      <c r="P201" s="205">
        <f t="shared" si="160"/>
        <v>-5.830050534521636</v>
      </c>
      <c r="Q201" s="205">
        <f t="shared" si="160"/>
        <v>-7.94947093661516</v>
      </c>
      <c r="R201" s="205">
        <f t="shared" si="160"/>
        <v>-10.015283124758295</v>
      </c>
      <c r="S201" s="205">
        <f t="shared" si="160"/>
        <v>-12.022696999916516</v>
      </c>
      <c r="T201" s="205">
        <f t="shared" si="160"/>
        <v>-14.00169692726357</v>
      </c>
      <c r="U201" s="205">
        <f t="shared" si="160"/>
        <v>-16.04191175620407</v>
      </c>
      <c r="V201" s="205">
        <f t="shared" si="160"/>
        <v>-18.313558013344032</v>
      </c>
      <c r="W201" s="205">
        <f t="shared" si="160"/>
        <v>-21.1031044095885</v>
      </c>
      <c r="X201" s="205">
        <f t="shared" si="160"/>
        <v>-24.928673252413933</v>
      </c>
      <c r="Y201" s="205">
        <f t="shared" si="160"/>
        <v>-30.464177860883996</v>
      </c>
      <c r="Z201" s="205">
        <f t="shared" si="160"/>
        <v>-35.83007362788423</v>
      </c>
      <c r="AA201" s="6"/>
    </row>
    <row r="202" spans="1:27" s="216" customFormat="1" ht="15.75">
      <c r="A202" s="75" t="s">
        <v>187</v>
      </c>
      <c r="B202" s="205">
        <f>B172+52.3-B170*(B164-B123)-B200*(B73-B123)+(B171+$L$9)*(B163-B122)+B201*(B72-B122)</f>
        <v>14.2309768283726</v>
      </c>
      <c r="C202" s="205">
        <f aca="true" t="shared" si="161" ref="C202:Z202">C172+52.3-C170*(C164-C123)-C200*(C73-C123)+(C171+$L$9)*(C163-C122)+C201*(C72-C122)</f>
        <v>51.992033162827994</v>
      </c>
      <c r="D202" s="205">
        <f t="shared" si="161"/>
        <v>105.35698021523416</v>
      </c>
      <c r="E202" s="205">
        <f t="shared" si="161"/>
        <v>90.73782634373072</v>
      </c>
      <c r="F202" s="205">
        <f t="shared" si="161"/>
        <v>70.28446801634513</v>
      </c>
      <c r="G202" s="205">
        <f t="shared" si="161"/>
        <v>62.49007819207603</v>
      </c>
      <c r="H202" s="205">
        <f t="shared" si="161"/>
        <v>59.79089400845654</v>
      </c>
      <c r="I202" s="205">
        <f t="shared" si="161"/>
        <v>59.35689220873096</v>
      </c>
      <c r="J202" s="205">
        <f t="shared" si="161"/>
        <v>60.23083822067141</v>
      </c>
      <c r="K202" s="205">
        <f t="shared" si="161"/>
        <v>61.84032626941959</v>
      </c>
      <c r="L202" s="205">
        <f t="shared" si="161"/>
        <v>63.753121735572066</v>
      </c>
      <c r="M202" s="205">
        <f t="shared" si="161"/>
        <v>65.66454384767357</v>
      </c>
      <c r="N202" s="205">
        <f t="shared" si="161"/>
        <v>67.38814240577</v>
      </c>
      <c r="O202" s="205">
        <f t="shared" si="161"/>
        <v>68.83726968793712</v>
      </c>
      <c r="P202" s="205">
        <f t="shared" si="161"/>
        <v>70.0185224802346</v>
      </c>
      <c r="Q202" s="205">
        <f t="shared" si="161"/>
        <v>71.0390576692314</v>
      </c>
      <c r="R202" s="205">
        <f t="shared" si="161"/>
        <v>72.09930288043515</v>
      </c>
      <c r="S202" s="205">
        <f t="shared" si="161"/>
        <v>73.42339224815106</v>
      </c>
      <c r="T202" s="205">
        <f t="shared" si="161"/>
        <v>75.09394670565077</v>
      </c>
      <c r="U202" s="205">
        <f t="shared" si="161"/>
        <v>76.81432618335981</v>
      </c>
      <c r="V202" s="205">
        <f t="shared" si="161"/>
        <v>77.65553014542617</v>
      </c>
      <c r="W202" s="205">
        <f t="shared" si="161"/>
        <v>75.66045991884937</v>
      </c>
      <c r="X202" s="205">
        <f t="shared" si="161"/>
        <v>66.79847297362537</v>
      </c>
      <c r="Y202" s="205">
        <f t="shared" si="161"/>
        <v>44.62268286964667</v>
      </c>
      <c r="Z202" s="205">
        <f t="shared" si="161"/>
        <v>16.80965583358713</v>
      </c>
      <c r="AA202" s="6"/>
    </row>
    <row r="203" spans="1:27" s="216" customFormat="1" ht="15.75">
      <c r="A203" s="75" t="s">
        <v>186</v>
      </c>
      <c r="B203" s="207">
        <f>B200*B124+B201*B125+B202*0</f>
        <v>4.362106121232302</v>
      </c>
      <c r="C203" s="207">
        <f aca="true" t="shared" si="162" ref="C203:Z203">C200*C124+C201*C125+C202*0</f>
        <v>-10.546719478619808</v>
      </c>
      <c r="D203" s="207">
        <f t="shared" si="162"/>
        <v>-19.923825216342838</v>
      </c>
      <c r="E203" s="207">
        <f t="shared" si="162"/>
        <v>-2.77832494304596</v>
      </c>
      <c r="F203" s="207">
        <f t="shared" si="162"/>
        <v>3.324171716479552</v>
      </c>
      <c r="G203" s="207">
        <f t="shared" si="162"/>
        <v>3.808128338385398</v>
      </c>
      <c r="H203" s="207">
        <f t="shared" si="162"/>
        <v>3.2804133968646774</v>
      </c>
      <c r="I203" s="207">
        <f t="shared" si="162"/>
        <v>2.732922071382127</v>
      </c>
      <c r="J203" s="207">
        <f t="shared" si="162"/>
        <v>2.396828859851514</v>
      </c>
      <c r="K203" s="207">
        <f t="shared" si="162"/>
        <v>2.2747130695936324</v>
      </c>
      <c r="L203" s="207">
        <f t="shared" si="162"/>
        <v>2.2699550382774363</v>
      </c>
      <c r="M203" s="207">
        <f t="shared" si="162"/>
        <v>2.2621819216704107</v>
      </c>
      <c r="N203" s="207">
        <f t="shared" si="162"/>
        <v>2.1601767093619757</v>
      </c>
      <c r="O203" s="207">
        <f t="shared" si="162"/>
        <v>1.9114690825508696</v>
      </c>
      <c r="P203" s="207">
        <f t="shared" si="162"/>
        <v>1.4641657398135282</v>
      </c>
      <c r="Q203" s="207">
        <f t="shared" si="162"/>
        <v>0.715813049741922</v>
      </c>
      <c r="R203" s="207">
        <f t="shared" si="162"/>
        <v>-0.4972950540157419</v>
      </c>
      <c r="S203" s="207">
        <f t="shared" si="162"/>
        <v>-2.346411712308064</v>
      </c>
      <c r="T203" s="207">
        <f t="shared" si="162"/>
        <v>-4.916901742977364</v>
      </c>
      <c r="U203" s="207">
        <f t="shared" si="162"/>
        <v>-8.11972530965839</v>
      </c>
      <c r="V203" s="207">
        <f t="shared" si="162"/>
        <v>-11.616236747159887</v>
      </c>
      <c r="W203" s="207">
        <f t="shared" si="162"/>
        <v>-14.608333772232548</v>
      </c>
      <c r="X203" s="207">
        <f t="shared" si="162"/>
        <v>-14.874163961894103</v>
      </c>
      <c r="Y203" s="207">
        <f t="shared" si="162"/>
        <v>-5.164473226661615</v>
      </c>
      <c r="Z203" s="207">
        <f t="shared" si="162"/>
        <v>26.536095856717438</v>
      </c>
      <c r="AA203" s="6"/>
    </row>
    <row r="204" spans="1:26" s="221" customFormat="1" ht="15.75">
      <c r="A204" s="76" t="s">
        <v>46</v>
      </c>
      <c r="B204" s="220">
        <f>B203-(B197+B177)</f>
        <v>0</v>
      </c>
      <c r="C204" s="220">
        <f aca="true" t="shared" si="163" ref="C204:Z204">C203-(C197+C177)</f>
        <v>0</v>
      </c>
      <c r="D204" s="220">
        <f t="shared" si="163"/>
        <v>0</v>
      </c>
      <c r="E204" s="220">
        <f t="shared" si="163"/>
        <v>0</v>
      </c>
      <c r="F204" s="220">
        <f t="shared" si="163"/>
        <v>0</v>
      </c>
      <c r="G204" s="220">
        <f t="shared" si="163"/>
        <v>0</v>
      </c>
      <c r="H204" s="220">
        <f t="shared" si="163"/>
        <v>0</v>
      </c>
      <c r="I204" s="220">
        <f t="shared" si="163"/>
        <v>0</v>
      </c>
      <c r="J204" s="220">
        <f t="shared" si="163"/>
        <v>0</v>
      </c>
      <c r="K204" s="220">
        <f t="shared" si="163"/>
        <v>0</v>
      </c>
      <c r="L204" s="220">
        <f t="shared" si="163"/>
        <v>0</v>
      </c>
      <c r="M204" s="220">
        <f t="shared" si="163"/>
        <v>0</v>
      </c>
      <c r="N204" s="220">
        <f t="shared" si="163"/>
        <v>0</v>
      </c>
      <c r="O204" s="220">
        <f t="shared" si="163"/>
        <v>0</v>
      </c>
      <c r="P204" s="220">
        <f t="shared" si="163"/>
        <v>0</v>
      </c>
      <c r="Q204" s="220">
        <f t="shared" si="163"/>
        <v>1.3322676295501878E-15</v>
      </c>
      <c r="R204" s="220">
        <f t="shared" si="163"/>
        <v>4.440892098500626E-16</v>
      </c>
      <c r="S204" s="220">
        <f t="shared" si="163"/>
        <v>0</v>
      </c>
      <c r="T204" s="220">
        <f t="shared" si="163"/>
        <v>0</v>
      </c>
      <c r="U204" s="220">
        <f t="shared" si="163"/>
        <v>0</v>
      </c>
      <c r="V204" s="220">
        <f t="shared" si="163"/>
        <v>0</v>
      </c>
      <c r="W204" s="220">
        <f t="shared" si="163"/>
        <v>0</v>
      </c>
      <c r="X204" s="220">
        <f t="shared" si="163"/>
        <v>0</v>
      </c>
      <c r="Y204" s="220">
        <f t="shared" si="163"/>
        <v>0</v>
      </c>
      <c r="Z204" s="220">
        <f t="shared" si="163"/>
        <v>0</v>
      </c>
    </row>
    <row r="205" spans="1:27" s="216" customFormat="1" ht="15.75">
      <c r="A205" s="7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6"/>
    </row>
    <row r="206" spans="1:27" s="216" customFormat="1" ht="15.75">
      <c r="A206" s="77" t="s">
        <v>191</v>
      </c>
      <c r="B206" s="219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6"/>
    </row>
    <row r="207" spans="1:27" s="216" customFormat="1" ht="15.75">
      <c r="A207" s="75" t="s">
        <v>192</v>
      </c>
      <c r="B207" s="205">
        <f aca="true" t="shared" si="164" ref="B207:G207">B155+B200</f>
        <v>-14.285861558631861</v>
      </c>
      <c r="C207" s="205">
        <f t="shared" si="164"/>
        <v>-9.925348335709954</v>
      </c>
      <c r="D207" s="205">
        <f t="shared" si="164"/>
        <v>0.6106381360027326</v>
      </c>
      <c r="E207" s="205">
        <f t="shared" si="164"/>
        <v>0.169228538438713</v>
      </c>
      <c r="F207" s="205">
        <f t="shared" si="164"/>
        <v>-2.41683520534252</v>
      </c>
      <c r="G207" s="205">
        <f t="shared" si="164"/>
        <v>-3.1771413557097836</v>
      </c>
      <c r="H207" s="205">
        <f aca="true" t="shared" si="165" ref="H207:Z207">H155+H200</f>
        <v>-3.2549221719635804</v>
      </c>
      <c r="I207" s="205">
        <f t="shared" si="165"/>
        <v>-3.1836575495480983</v>
      </c>
      <c r="J207" s="205">
        <f t="shared" si="165"/>
        <v>-3.131072902937461</v>
      </c>
      <c r="K207" s="205">
        <f t="shared" si="165"/>
        <v>-3.166354344763959</v>
      </c>
      <c r="L207" s="205">
        <f t="shared" si="165"/>
        <v>-3.3102966630711657</v>
      </c>
      <c r="M207" s="205">
        <f t="shared" si="165"/>
        <v>-3.5402738364805133</v>
      </c>
      <c r="N207" s="205">
        <f t="shared" si="165"/>
        <v>-3.80237944643045</v>
      </c>
      <c r="O207" s="205">
        <f t="shared" si="165"/>
        <v>-4.032224623192265</v>
      </c>
      <c r="P207" s="205">
        <f t="shared" si="165"/>
        <v>-4.172717456003989</v>
      </c>
      <c r="Q207" s="205">
        <f t="shared" si="165"/>
        <v>-4.182348071008747</v>
      </c>
      <c r="R207" s="205">
        <f t="shared" si="165"/>
        <v>-4.037665189031477</v>
      </c>
      <c r="S207" s="205">
        <f t="shared" si="165"/>
        <v>-3.739263574167991</v>
      </c>
      <c r="T207" s="205">
        <f t="shared" si="165"/>
        <v>-3.3278246434624603</v>
      </c>
      <c r="U207" s="205">
        <f t="shared" si="165"/>
        <v>-2.9065942696824614</v>
      </c>
      <c r="V207" s="205">
        <f t="shared" si="165"/>
        <v>-2.6640307802138867</v>
      </c>
      <c r="W207" s="205">
        <f t="shared" si="165"/>
        <v>-2.937210596984177</v>
      </c>
      <c r="X207" s="205">
        <f t="shared" si="165"/>
        <v>-4.468318212677146</v>
      </c>
      <c r="Y207" s="205">
        <f t="shared" si="165"/>
        <v>-8.68725190655552</v>
      </c>
      <c r="Z207" s="205">
        <f t="shared" si="165"/>
        <v>-14.499879538864857</v>
      </c>
      <c r="AA207" s="6"/>
    </row>
    <row r="208" spans="1:27" s="216" customFormat="1" ht="15.75">
      <c r="A208" s="75" t="s">
        <v>194</v>
      </c>
      <c r="B208" s="205">
        <f aca="true" t="shared" si="166" ref="B208:G208">B156+B201+$L$8</f>
        <v>29.198104419313403</v>
      </c>
      <c r="C208" s="205">
        <f t="shared" si="166"/>
        <v>37.361634005278276</v>
      </c>
      <c r="D208" s="205">
        <f t="shared" si="166"/>
        <v>47.79511859975088</v>
      </c>
      <c r="E208" s="205">
        <f t="shared" si="166"/>
        <v>42.68353249915421</v>
      </c>
      <c r="F208" s="205">
        <f t="shared" si="166"/>
        <v>36.23313422029574</v>
      </c>
      <c r="G208" s="205">
        <f t="shared" si="166"/>
        <v>32.78419908102598</v>
      </c>
      <c r="H208" s="205">
        <f aca="true" t="shared" si="167" ref="H208:Z208">H156+H201+$L$8</f>
        <v>30.378089551621343</v>
      </c>
      <c r="I208" s="205">
        <f t="shared" si="167"/>
        <v>28.290026799414175</v>
      </c>
      <c r="J208" s="205">
        <f t="shared" si="167"/>
        <v>26.32091359094684</v>
      </c>
      <c r="K208" s="205">
        <f t="shared" si="167"/>
        <v>24.376599366147694</v>
      </c>
      <c r="L208" s="205">
        <f t="shared" si="167"/>
        <v>22.393236514866977</v>
      </c>
      <c r="M208" s="205">
        <f t="shared" si="167"/>
        <v>20.341092522220922</v>
      </c>
      <c r="N208" s="205">
        <f t="shared" si="167"/>
        <v>18.22737090736776</v>
      </c>
      <c r="O208" s="205">
        <f t="shared" si="167"/>
        <v>16.086294292953138</v>
      </c>
      <c r="P208" s="205">
        <f t="shared" si="167"/>
        <v>13.964533195689617</v>
      </c>
      <c r="Q208" s="205">
        <f t="shared" si="167"/>
        <v>11.908349598639784</v>
      </c>
      <c r="R208" s="205">
        <f t="shared" si="167"/>
        <v>9.950206421044472</v>
      </c>
      <c r="S208" s="205">
        <f t="shared" si="167"/>
        <v>8.087987833198897</v>
      </c>
      <c r="T208" s="205">
        <f t="shared" si="167"/>
        <v>6.2532299948651975</v>
      </c>
      <c r="U208" s="205">
        <f t="shared" si="167"/>
        <v>4.2740669820606385</v>
      </c>
      <c r="V208" s="205">
        <f t="shared" si="167"/>
        <v>1.8398450829658373</v>
      </c>
      <c r="W208" s="205">
        <f t="shared" si="167"/>
        <v>-1.5663971940841783</v>
      </c>
      <c r="X208" s="205">
        <f t="shared" si="167"/>
        <v>-6.840288535605939</v>
      </c>
      <c r="Y208" s="205">
        <f t="shared" si="167"/>
        <v>-14.941571579351926</v>
      </c>
      <c r="Z208" s="205">
        <f t="shared" si="167"/>
        <v>-22.063554277218596</v>
      </c>
      <c r="AA208" s="6"/>
    </row>
    <row r="209" spans="1:27" s="216" customFormat="1" ht="15.75">
      <c r="A209" s="75" t="s">
        <v>195</v>
      </c>
      <c r="B209" s="205">
        <f>B157+B202*0-B155*(B149-B73)-B200*(B123-B73)+(B156+$L$8)*(B148-B72)+B201*(B122-B72)</f>
        <v>37.70639454883157</v>
      </c>
      <c r="C209" s="205">
        <f aca="true" t="shared" si="168" ref="C209:Z209">C157+C202*0-C155*(C149-C73)-C200*(C123-C73)+(C156+$L$8)*(C148-C72)+C201*(C122-C72)</f>
        <v>13.968910534919246</v>
      </c>
      <c r="D209" s="205">
        <f t="shared" si="168"/>
        <v>-19.297580701621</v>
      </c>
      <c r="E209" s="205">
        <f t="shared" si="168"/>
        <v>-9.054157557018323</v>
      </c>
      <c r="F209" s="205">
        <f t="shared" si="168"/>
        <v>6.691929098156525</v>
      </c>
      <c r="G209" s="205">
        <f t="shared" si="168"/>
        <v>14.928041324394599</v>
      </c>
      <c r="H209" s="205">
        <f t="shared" si="168"/>
        <v>19.495422296590526</v>
      </c>
      <c r="I209" s="205">
        <f t="shared" si="168"/>
        <v>21.918004150610045</v>
      </c>
      <c r="J209" s="205">
        <f t="shared" si="168"/>
        <v>22.77771691511783</v>
      </c>
      <c r="K209" s="205">
        <f t="shared" si="168"/>
        <v>22.470111981294032</v>
      </c>
      <c r="L209" s="205">
        <f t="shared" si="168"/>
        <v>21.325063591464993</v>
      </c>
      <c r="M209" s="205">
        <f t="shared" si="168"/>
        <v>19.628690147655796</v>
      </c>
      <c r="N209" s="205">
        <f t="shared" si="168"/>
        <v>17.63273026286045</v>
      </c>
      <c r="O209" s="205">
        <f t="shared" si="168"/>
        <v>15.547524268220629</v>
      </c>
      <c r="P209" s="205">
        <f t="shared" si="168"/>
        <v>13.520528132836473</v>
      </c>
      <c r="Q209" s="205">
        <f t="shared" si="168"/>
        <v>11.612204703536193</v>
      </c>
      <c r="R209" s="205">
        <f t="shared" si="168"/>
        <v>9.786805799591619</v>
      </c>
      <c r="S209" s="205">
        <f t="shared" si="168"/>
        <v>7.9423789070258</v>
      </c>
      <c r="T209" s="205">
        <f t="shared" si="168"/>
        <v>5.9997698458376085</v>
      </c>
      <c r="U209" s="205">
        <f t="shared" si="168"/>
        <v>4.039229428067568</v>
      </c>
      <c r="V209" s="205">
        <f t="shared" si="168"/>
        <v>2.4516667148100115</v>
      </c>
      <c r="W209" s="205">
        <f t="shared" si="168"/>
        <v>2.1879599703557453</v>
      </c>
      <c r="X209" s="205">
        <f t="shared" si="168"/>
        <v>5.48746341158904</v>
      </c>
      <c r="Y209" s="205">
        <f t="shared" si="168"/>
        <v>16.763408453725575</v>
      </c>
      <c r="Z209" s="205">
        <f t="shared" si="168"/>
        <v>34.51240766196396</v>
      </c>
      <c r="AA209" s="6"/>
    </row>
    <row r="210" spans="1:27" s="216" customFormat="1" ht="15.75">
      <c r="A210" s="75" t="s">
        <v>193</v>
      </c>
      <c r="B210" s="207">
        <f aca="true" t="shared" si="169" ref="B210:G210">B207*B74+B208*B75+B209*B118</f>
        <v>-0.6233808031189554</v>
      </c>
      <c r="C210" s="207">
        <f t="shared" si="169"/>
        <v>-25.426761099267928</v>
      </c>
      <c r="D210" s="207">
        <f t="shared" si="169"/>
        <v>-35.59959538347866</v>
      </c>
      <c r="E210" s="207">
        <f t="shared" si="169"/>
        <v>-6.033578742283002</v>
      </c>
      <c r="F210" s="207">
        <f t="shared" si="169"/>
        <v>5.812496359232044</v>
      </c>
      <c r="G210" s="207">
        <f t="shared" si="169"/>
        <v>7.30869719151531</v>
      </c>
      <c r="H210" s="113">
        <f aca="true" t="shared" si="170" ref="H210:Z210">H207*H74+H208*H75+H209*H118</f>
        <v>6.1980634058329045</v>
      </c>
      <c r="I210" s="113">
        <f t="shared" si="170"/>
        <v>4.535078774476389</v>
      </c>
      <c r="J210" s="113">
        <f t="shared" si="170"/>
        <v>3.020525936062419</v>
      </c>
      <c r="K210" s="113">
        <f t="shared" si="170"/>
        <v>1.9368835311323798</v>
      </c>
      <c r="L210" s="113">
        <f t="shared" si="170"/>
        <v>1.332710266185083</v>
      </c>
      <c r="M210" s="113">
        <f t="shared" si="170"/>
        <v>1.1087979343509011</v>
      </c>
      <c r="N210" s="113">
        <f t="shared" si="170"/>
        <v>1.113475539836383</v>
      </c>
      <c r="O210" s="113">
        <f t="shared" si="170"/>
        <v>1.223956471353203</v>
      </c>
      <c r="P210" s="113">
        <f t="shared" si="170"/>
        <v>1.379610751970933</v>
      </c>
      <c r="Q210" s="113">
        <f t="shared" si="170"/>
        <v>1.5611446820445347</v>
      </c>
      <c r="R210" s="113">
        <f t="shared" si="170"/>
        <v>1.7410444105809755</v>
      </c>
      <c r="S210" s="113">
        <f t="shared" si="170"/>
        <v>1.846731151570646</v>
      </c>
      <c r="T210" s="113">
        <f t="shared" si="170"/>
        <v>1.7501303320985988</v>
      </c>
      <c r="U210" s="113">
        <f t="shared" si="170"/>
        <v>1.2481331895100904</v>
      </c>
      <c r="V210" s="113">
        <f t="shared" si="170"/>
        <v>0.021107115293451106</v>
      </c>
      <c r="W210" s="113">
        <f t="shared" si="170"/>
        <v>-2.266929683617894</v>
      </c>
      <c r="X210" s="113">
        <f t="shared" si="170"/>
        <v>-4.9831247997750685</v>
      </c>
      <c r="Y210" s="113">
        <f t="shared" si="170"/>
        <v>-1.857740166417507</v>
      </c>
      <c r="Z210" s="113">
        <f t="shared" si="170"/>
        <v>21.63417159819484</v>
      </c>
      <c r="AA210" s="6"/>
    </row>
    <row r="211" spans="1:26" s="221" customFormat="1" ht="15.75">
      <c r="A211" s="76" t="s">
        <v>46</v>
      </c>
      <c r="B211" s="220">
        <f aca="true" t="shared" si="171" ref="B211:G211">B210-(B154+B197+B177)</f>
        <v>1.7763568394002505E-15</v>
      </c>
      <c r="C211" s="220">
        <f t="shared" si="171"/>
        <v>0</v>
      </c>
      <c r="D211" s="220">
        <f t="shared" si="171"/>
        <v>0</v>
      </c>
      <c r="E211" s="220">
        <f t="shared" si="171"/>
        <v>0</v>
      </c>
      <c r="F211" s="220">
        <f t="shared" si="171"/>
        <v>0</v>
      </c>
      <c r="G211" s="220">
        <f t="shared" si="171"/>
        <v>0</v>
      </c>
      <c r="H211" s="220">
        <f aca="true" t="shared" si="172" ref="H211:Z211">H210-(H154+H197+H177)</f>
        <v>0</v>
      </c>
      <c r="I211" s="220">
        <f t="shared" si="172"/>
        <v>0</v>
      </c>
      <c r="J211" s="220">
        <f t="shared" si="172"/>
        <v>0</v>
      </c>
      <c r="K211" s="220">
        <f t="shared" si="172"/>
        <v>0</v>
      </c>
      <c r="L211" s="220">
        <f t="shared" si="172"/>
        <v>0</v>
      </c>
      <c r="M211" s="220">
        <f t="shared" si="172"/>
        <v>0</v>
      </c>
      <c r="N211" s="220">
        <f t="shared" si="172"/>
        <v>0</v>
      </c>
      <c r="O211" s="220">
        <f t="shared" si="172"/>
        <v>0</v>
      </c>
      <c r="P211" s="220">
        <f t="shared" si="172"/>
        <v>0</v>
      </c>
      <c r="Q211" s="220">
        <f t="shared" si="172"/>
        <v>1.7763568394002505E-15</v>
      </c>
      <c r="R211" s="220">
        <f t="shared" si="172"/>
        <v>0</v>
      </c>
      <c r="S211" s="220">
        <f t="shared" si="172"/>
        <v>-1.7763568394002505E-15</v>
      </c>
      <c r="T211" s="220">
        <f t="shared" si="172"/>
        <v>0</v>
      </c>
      <c r="U211" s="220">
        <f t="shared" si="172"/>
        <v>3.552713678800501E-15</v>
      </c>
      <c r="V211" s="220">
        <f t="shared" si="172"/>
        <v>9.992007221626409E-16</v>
      </c>
      <c r="W211" s="220">
        <f t="shared" si="172"/>
        <v>0</v>
      </c>
      <c r="X211" s="220">
        <f t="shared" si="172"/>
        <v>0</v>
      </c>
      <c r="Y211" s="220">
        <f t="shared" si="172"/>
        <v>3.552713678800501E-15</v>
      </c>
      <c r="Z211" s="220">
        <f t="shared" si="172"/>
        <v>0</v>
      </c>
    </row>
    <row r="212" spans="1:27" s="216" customFormat="1" ht="15.75">
      <c r="A212" s="7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6"/>
    </row>
    <row r="213" spans="1:27" s="216" customFormat="1" ht="15.75">
      <c r="A213" s="218" t="s">
        <v>196</v>
      </c>
      <c r="B213" s="219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6"/>
    </row>
    <row r="214" spans="1:27" s="216" customFormat="1" ht="15.75">
      <c r="A214" s="81" t="s">
        <v>207</v>
      </c>
      <c r="B214" s="222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6"/>
    </row>
    <row r="215" spans="1:27" s="216" customFormat="1" ht="15.75">
      <c r="A215" s="78" t="s">
        <v>200</v>
      </c>
      <c r="B215" s="223">
        <f>B33-B62*($B$12-B32)</f>
        <v>0.3771538659768875</v>
      </c>
      <c r="C215" s="223">
        <f aca="true" t="shared" si="173" ref="C215:Z215">C33-C62*($B$12-C32)</f>
        <v>-0.06497782392576762</v>
      </c>
      <c r="D215" s="223">
        <f t="shared" si="173"/>
        <v>-0.5137115417672014</v>
      </c>
      <c r="E215" s="223">
        <f t="shared" si="173"/>
        <v>-0.70818993205704</v>
      </c>
      <c r="F215" s="223">
        <f t="shared" si="173"/>
        <v>-0.6870407660206456</v>
      </c>
      <c r="G215" s="223">
        <f t="shared" si="173"/>
        <v>-0.6204329311685057</v>
      </c>
      <c r="H215" s="223">
        <f t="shared" si="173"/>
        <v>-0.5564599262477367</v>
      </c>
      <c r="I215" s="223">
        <f t="shared" si="173"/>
        <v>-0.490122396916028</v>
      </c>
      <c r="J215" s="223">
        <f t="shared" si="173"/>
        <v>-0.4146977395948604</v>
      </c>
      <c r="K215" s="223">
        <f t="shared" si="173"/>
        <v>-0.32981639710549426</v>
      </c>
      <c r="L215" s="223">
        <f t="shared" si="173"/>
        <v>-0.24005353240346897</v>
      </c>
      <c r="M215" s="223">
        <f t="shared" si="173"/>
        <v>-0.15142360240907354</v>
      </c>
      <c r="N215" s="223">
        <f t="shared" si="173"/>
        <v>-0.0680352919977798</v>
      </c>
      <c r="O215" s="223">
        <f t="shared" si="173"/>
        <v>0.010023696923140743</v>
      </c>
      <c r="P215" s="223">
        <f t="shared" si="173"/>
        <v>0.08659250455898626</v>
      </c>
      <c r="Q215" s="223">
        <f t="shared" si="173"/>
        <v>0.1667263055929145</v>
      </c>
      <c r="R215" s="223">
        <f t="shared" si="173"/>
        <v>0.25296651168976314</v>
      </c>
      <c r="S215" s="223">
        <f t="shared" si="173"/>
        <v>0.34350297528720936</v>
      </c>
      <c r="T215" s="223">
        <f t="shared" si="173"/>
        <v>0.43315760838219197</v>
      </c>
      <c r="U215" s="223">
        <f t="shared" si="173"/>
        <v>0.5156703992222531</v>
      </c>
      <c r="V215" s="223">
        <f t="shared" si="173"/>
        <v>0.5854639330357752</v>
      </c>
      <c r="W215" s="223">
        <f t="shared" si="173"/>
        <v>0.636905393370454</v>
      </c>
      <c r="X215" s="223">
        <f t="shared" si="173"/>
        <v>0.6568988118599349</v>
      </c>
      <c r="Y215" s="223">
        <f t="shared" si="173"/>
        <v>0.6031672000848559</v>
      </c>
      <c r="Z215" s="223">
        <f t="shared" si="173"/>
        <v>0.38020597306156</v>
      </c>
      <c r="AA215" s="6"/>
    </row>
    <row r="216" spans="1:27" s="216" customFormat="1" ht="15.75">
      <c r="A216" s="78" t="s">
        <v>201</v>
      </c>
      <c r="B216" s="223">
        <f>B34+B62*($B$11-B31)</f>
        <v>0.18196697597820422</v>
      </c>
      <c r="C216" s="223">
        <f aca="true" t="shared" si="174" ref="C216:Z216">C34+C62*($B$11-C31)</f>
        <v>-0.014034907861043888</v>
      </c>
      <c r="D216" s="223">
        <f t="shared" si="174"/>
        <v>0.006759723144079244</v>
      </c>
      <c r="E216" s="223">
        <f t="shared" si="174"/>
        <v>0.11899891552057079</v>
      </c>
      <c r="F216" s="223">
        <f t="shared" si="174"/>
        <v>0.16986578980347314</v>
      </c>
      <c r="G216" s="223">
        <f t="shared" si="174"/>
        <v>0.16596927931649785</v>
      </c>
      <c r="H216" s="223">
        <f t="shared" si="174"/>
        <v>0.13786952826957471</v>
      </c>
      <c r="I216" s="223">
        <f t="shared" si="174"/>
        <v>0.09934565691714778</v>
      </c>
      <c r="J216" s="223">
        <f t="shared" si="174"/>
        <v>0.05889233794747262</v>
      </c>
      <c r="K216" s="223">
        <f t="shared" si="174"/>
        <v>0.023609231330052216</v>
      </c>
      <c r="L216" s="223">
        <f t="shared" si="174"/>
        <v>-0.0012685171222337477</v>
      </c>
      <c r="M216" s="223">
        <f t="shared" si="174"/>
        <v>-0.013156641584708084</v>
      </c>
      <c r="N216" s="223">
        <f t="shared" si="174"/>
        <v>-0.011735604318764858</v>
      </c>
      <c r="O216" s="223">
        <f t="shared" si="174"/>
        <v>0.0026254868955486454</v>
      </c>
      <c r="P216" s="223">
        <f t="shared" si="174"/>
        <v>0.030762878011236727</v>
      </c>
      <c r="Q216" s="223">
        <f t="shared" si="174"/>
        <v>0.0754440794430784</v>
      </c>
      <c r="R216" s="223">
        <f t="shared" si="174"/>
        <v>0.139943418353549</v>
      </c>
      <c r="S216" s="223">
        <f t="shared" si="174"/>
        <v>0.22527589275931598</v>
      </c>
      <c r="T216" s="223">
        <f t="shared" si="174"/>
        <v>0.3276947512790862</v>
      </c>
      <c r="U216" s="223">
        <f t="shared" si="174"/>
        <v>0.43699009872121175</v>
      </c>
      <c r="V216" s="223">
        <f t="shared" si="174"/>
        <v>0.5350793796335735</v>
      </c>
      <c r="W216" s="223">
        <f t="shared" si="174"/>
        <v>0.5941344625074612</v>
      </c>
      <c r="X216" s="223">
        <f t="shared" si="174"/>
        <v>0.5748459196878647</v>
      </c>
      <c r="Y216" s="223">
        <f t="shared" si="174"/>
        <v>0.43459366331662597</v>
      </c>
      <c r="Z216" s="223">
        <f t="shared" si="174"/>
        <v>0.1834395386287846</v>
      </c>
      <c r="AA216" s="6"/>
    </row>
    <row r="217" spans="1:27" s="216" customFormat="1" ht="15.75">
      <c r="A217" s="78" t="s">
        <v>198</v>
      </c>
      <c r="B217" s="205">
        <f aca="true" t="shared" si="175" ref="B217:G217">B33-B62*($B$12-B32)</f>
        <v>0.3771538659768875</v>
      </c>
      <c r="C217" s="205">
        <f t="shared" si="175"/>
        <v>-0.06497782392576762</v>
      </c>
      <c r="D217" s="205">
        <f t="shared" si="175"/>
        <v>-0.5137115417672014</v>
      </c>
      <c r="E217" s="205">
        <f t="shared" si="175"/>
        <v>-0.70818993205704</v>
      </c>
      <c r="F217" s="205">
        <f t="shared" si="175"/>
        <v>-0.6870407660206456</v>
      </c>
      <c r="G217" s="205">
        <f t="shared" si="175"/>
        <v>-0.6204329311685057</v>
      </c>
      <c r="H217" s="205">
        <f aca="true" t="shared" si="176" ref="H217:Z217">H33-H62*($B$12-H32)</f>
        <v>-0.5564599262477367</v>
      </c>
      <c r="I217" s="205">
        <f t="shared" si="176"/>
        <v>-0.490122396916028</v>
      </c>
      <c r="J217" s="205">
        <f t="shared" si="176"/>
        <v>-0.4146977395948604</v>
      </c>
      <c r="K217" s="205">
        <f t="shared" si="176"/>
        <v>-0.32981639710549426</v>
      </c>
      <c r="L217" s="205">
        <f t="shared" si="176"/>
        <v>-0.24005353240346897</v>
      </c>
      <c r="M217" s="205">
        <f t="shared" si="176"/>
        <v>-0.15142360240907354</v>
      </c>
      <c r="N217" s="205">
        <f t="shared" si="176"/>
        <v>-0.0680352919977798</v>
      </c>
      <c r="O217" s="205">
        <f t="shared" si="176"/>
        <v>0.010023696923140743</v>
      </c>
      <c r="P217" s="205">
        <f t="shared" si="176"/>
        <v>0.08659250455898626</v>
      </c>
      <c r="Q217" s="205">
        <f t="shared" si="176"/>
        <v>0.1667263055929145</v>
      </c>
      <c r="R217" s="205">
        <f t="shared" si="176"/>
        <v>0.25296651168976314</v>
      </c>
      <c r="S217" s="205">
        <f t="shared" si="176"/>
        <v>0.34350297528720936</v>
      </c>
      <c r="T217" s="205">
        <f t="shared" si="176"/>
        <v>0.43315760838219197</v>
      </c>
      <c r="U217" s="205">
        <f t="shared" si="176"/>
        <v>0.5156703992222531</v>
      </c>
      <c r="V217" s="205">
        <f t="shared" si="176"/>
        <v>0.5854639330357752</v>
      </c>
      <c r="W217" s="205">
        <f t="shared" si="176"/>
        <v>0.636905393370454</v>
      </c>
      <c r="X217" s="205">
        <f t="shared" si="176"/>
        <v>0.6568988118599349</v>
      </c>
      <c r="Y217" s="205">
        <f t="shared" si="176"/>
        <v>0.6031672000848559</v>
      </c>
      <c r="Z217" s="205">
        <f t="shared" si="176"/>
        <v>0.38020597306156</v>
      </c>
      <c r="AA217" s="6"/>
    </row>
    <row r="218" spans="1:27" s="216" customFormat="1" ht="15.75">
      <c r="A218" s="78" t="s">
        <v>199</v>
      </c>
      <c r="B218" s="205">
        <f aca="true" t="shared" si="177" ref="B218:G218">B34-B26*($B$11-B31)</f>
        <v>-0.00030460968721746084</v>
      </c>
      <c r="C218" s="205">
        <f t="shared" si="177"/>
        <v>-0.07747660812336221</v>
      </c>
      <c r="D218" s="205">
        <f t="shared" si="177"/>
        <v>-0.27887179732160605</v>
      </c>
      <c r="E218" s="205">
        <f t="shared" si="177"/>
        <v>-0.5318854143343199</v>
      </c>
      <c r="F218" s="205">
        <f t="shared" si="177"/>
        <v>-0.7553531135984919</v>
      </c>
      <c r="G218" s="205">
        <f t="shared" si="177"/>
        <v>-0.9738900587476715</v>
      </c>
      <c r="H218" s="205">
        <f aca="true" t="shared" si="178" ref="H218:Z218">H34-H26*($B$11-H31)</f>
        <v>-1.2072570001866427</v>
      </c>
      <c r="I218" s="205">
        <f t="shared" si="178"/>
        <v>-1.4378444274536093</v>
      </c>
      <c r="J218" s="205">
        <f t="shared" si="178"/>
        <v>-1.6350333908096857</v>
      </c>
      <c r="K218" s="205">
        <f t="shared" si="178"/>
        <v>-1.7723954917044495</v>
      </c>
      <c r="L218" s="205">
        <f t="shared" si="178"/>
        <v>-1.8389570665020234</v>
      </c>
      <c r="M218" s="205">
        <f t="shared" si="178"/>
        <v>-1.8428963770814537</v>
      </c>
      <c r="N218" s="205">
        <f t="shared" si="178"/>
        <v>-1.8076862243402898</v>
      </c>
      <c r="O218" s="205">
        <f t="shared" si="178"/>
        <v>-1.761219703641738</v>
      </c>
      <c r="P218" s="205">
        <f t="shared" si="178"/>
        <v>-1.7206245292486688</v>
      </c>
      <c r="Q218" s="205">
        <f t="shared" si="178"/>
        <v>-1.6809538899192575</v>
      </c>
      <c r="R218" s="205">
        <f t="shared" si="178"/>
        <v>-1.6178862240740497</v>
      </c>
      <c r="S218" s="205">
        <f t="shared" si="178"/>
        <v>-1.5033432616296833</v>
      </c>
      <c r="T218" s="205">
        <f t="shared" si="178"/>
        <v>-1.321119751526221</v>
      </c>
      <c r="U218" s="205">
        <f t="shared" si="178"/>
        <v>-1.074241066561862</v>
      </c>
      <c r="V218" s="205">
        <f t="shared" si="178"/>
        <v>-0.7848426657405865</v>
      </c>
      <c r="W218" s="205">
        <f t="shared" si="178"/>
        <v>-0.48957753795677394</v>
      </c>
      <c r="X218" s="205">
        <f t="shared" si="178"/>
        <v>-0.23266029757743523</v>
      </c>
      <c r="Y218" s="205">
        <f t="shared" si="178"/>
        <v>-0.05784679081258348</v>
      </c>
      <c r="Z218" s="205">
        <f t="shared" si="178"/>
        <v>-0.0003070747325697454</v>
      </c>
      <c r="AA218" s="6"/>
    </row>
    <row r="219" spans="1:27" s="216" customFormat="1" ht="15.75">
      <c r="A219" s="79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6"/>
    </row>
    <row r="220" spans="1:27" s="216" customFormat="1" ht="15.75">
      <c r="A220" s="80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6"/>
    </row>
    <row r="221" spans="1:27" s="216" customFormat="1" ht="15.75">
      <c r="A221" s="75" t="s">
        <v>202</v>
      </c>
      <c r="B221" s="205">
        <f>B138*B133/B215</f>
        <v>-2.5875274599831095</v>
      </c>
      <c r="C221" s="205">
        <f aca="true" t="shared" si="179" ref="C221:J221">C138*C133/C215</f>
        <v>36.45569349439361</v>
      </c>
      <c r="D221" s="205">
        <f t="shared" si="179"/>
        <v>-0.35515612747619657</v>
      </c>
      <c r="E221" s="205">
        <f t="shared" si="179"/>
        <v>0.0950347650832339</v>
      </c>
      <c r="F221" s="205">
        <f t="shared" si="179"/>
        <v>0.07704179834342559</v>
      </c>
      <c r="G221" s="205">
        <f t="shared" si="179"/>
        <v>-0.002462387689448811</v>
      </c>
      <c r="H221" s="205">
        <f t="shared" si="179"/>
        <v>-0.012626321566961191</v>
      </c>
      <c r="I221" s="205">
        <f t="shared" si="179"/>
        <v>-0.001247277519146166</v>
      </c>
      <c r="J221" s="205">
        <f t="shared" si="179"/>
        <v>0.00954096248412028</v>
      </c>
      <c r="K221" s="205">
        <f aca="true" t="shared" si="180" ref="K221:Z221">K138*K133/K215</f>
        <v>0.011895705999266707</v>
      </c>
      <c r="L221" s="205">
        <f t="shared" si="180"/>
        <v>0.003520027359597226</v>
      </c>
      <c r="M221" s="205">
        <f t="shared" si="180"/>
        <v>-0.020005136458824145</v>
      </c>
      <c r="N221" s="205">
        <f t="shared" si="180"/>
        <v>-0.10013002548926403</v>
      </c>
      <c r="O221" s="205">
        <f t="shared" si="180"/>
        <v>1.1178931269709316</v>
      </c>
      <c r="P221" s="205">
        <f t="shared" si="180"/>
        <v>0.2023665571702671</v>
      </c>
      <c r="Q221" s="205">
        <f t="shared" si="180"/>
        <v>0.15631920862905302</v>
      </c>
      <c r="R221" s="205">
        <f t="shared" si="180"/>
        <v>0.1326739121923953</v>
      </c>
      <c r="S221" s="205">
        <f t="shared" si="180"/>
        <v>0.08801159468561533</v>
      </c>
      <c r="T221" s="205">
        <f t="shared" si="180"/>
        <v>0.000204161541660505</v>
      </c>
      <c r="U221" s="205">
        <f t="shared" si="180"/>
        <v>-0.1264240294706221</v>
      </c>
      <c r="V221" s="205">
        <f t="shared" si="180"/>
        <v>-0.19738272390418887</v>
      </c>
      <c r="W221" s="205">
        <f t="shared" si="180"/>
        <v>0.12235125190600181</v>
      </c>
      <c r="X221" s="205">
        <f t="shared" si="180"/>
        <v>1.481165631632419</v>
      </c>
      <c r="Y221" s="205">
        <f t="shared" si="180"/>
        <v>3.295514425227395</v>
      </c>
      <c r="Z221" s="205">
        <f t="shared" si="180"/>
        <v>-2.2707382399222804</v>
      </c>
      <c r="AA221" s="6"/>
    </row>
    <row r="222" spans="1:27" s="216" customFormat="1" ht="15.75">
      <c r="A222" s="75" t="s">
        <v>203</v>
      </c>
      <c r="B222" s="205">
        <f>(B139+$L$7)*B134/B216</f>
        <v>-313.043901171844</v>
      </c>
      <c r="C222" s="205">
        <f aca="true" t="shared" si="181" ref="C222:J222">(C139+$L$7)*C134/C216</f>
        <v>3803.356953441012</v>
      </c>
      <c r="D222" s="205">
        <f t="shared" si="181"/>
        <v>-4166.09733351584</v>
      </c>
      <c r="E222" s="205">
        <f t="shared" si="181"/>
        <v>-133.69159535155632</v>
      </c>
      <c r="F222" s="205">
        <f t="shared" si="181"/>
        <v>-36.42764427665584</v>
      </c>
      <c r="G222" s="205">
        <f t="shared" si="181"/>
        <v>1.9534594310267894</v>
      </c>
      <c r="H222" s="205">
        <f t="shared" si="181"/>
        <v>29.632637277778223</v>
      </c>
      <c r="I222" s="205">
        <f t="shared" si="181"/>
        <v>64.0884011361559</v>
      </c>
      <c r="J222" s="205">
        <f t="shared" si="181"/>
        <v>131.81817058914228</v>
      </c>
      <c r="K222" s="205">
        <f aca="true" t="shared" si="182" ref="K222:Z222">(K139+$L$7)*K134/K216</f>
        <v>361.06988946267325</v>
      </c>
      <c r="L222" s="205">
        <f t="shared" si="182"/>
        <v>-6944.725274254044</v>
      </c>
      <c r="M222" s="205">
        <f t="shared" si="182"/>
        <v>-667.1490210203725</v>
      </c>
      <c r="N222" s="205">
        <f t="shared" si="182"/>
        <v>-733.1268526222607</v>
      </c>
      <c r="O222" s="205">
        <f t="shared" si="182"/>
        <v>3218.724570947442</v>
      </c>
      <c r="P222" s="205">
        <f t="shared" si="182"/>
        <v>273.57721410161446</v>
      </c>
      <c r="Q222" s="205">
        <f t="shared" si="182"/>
        <v>112.48341826663379</v>
      </c>
      <c r="R222" s="205">
        <f t="shared" si="182"/>
        <v>60.99301856569563</v>
      </c>
      <c r="S222" s="205">
        <f t="shared" si="182"/>
        <v>37.14113775689311</v>
      </c>
      <c r="T222" s="205">
        <f t="shared" si="182"/>
        <v>23.628904162579865</v>
      </c>
      <c r="U222" s="205">
        <f t="shared" si="182"/>
        <v>14.553983476559567</v>
      </c>
      <c r="V222" s="205">
        <f t="shared" si="182"/>
        <v>6.948638969460344</v>
      </c>
      <c r="W222" s="205">
        <f t="shared" si="182"/>
        <v>-2.1004580730797</v>
      </c>
      <c r="X222" s="205">
        <f t="shared" si="182"/>
        <v>-19.345423809041918</v>
      </c>
      <c r="Y222" s="205">
        <f t="shared" si="182"/>
        <v>-71.37756357646992</v>
      </c>
      <c r="Z222" s="205">
        <f t="shared" si="182"/>
        <v>-317.79043808318784</v>
      </c>
      <c r="AA222" s="6"/>
    </row>
    <row r="223" spans="1:27" s="216" customFormat="1" ht="15.75">
      <c r="A223" s="75" t="s">
        <v>204</v>
      </c>
      <c r="B223" s="205">
        <f>B140</f>
        <v>-3.080911134907074</v>
      </c>
      <c r="C223" s="205">
        <f aca="true" t="shared" si="183" ref="C223:J223">C140</f>
        <v>0.8224727551407054</v>
      </c>
      <c r="D223" s="205">
        <f t="shared" si="183"/>
        <v>4.289609636320235</v>
      </c>
      <c r="E223" s="205">
        <f t="shared" si="183"/>
        <v>3.3251887252218415</v>
      </c>
      <c r="F223" s="205">
        <f t="shared" si="183"/>
        <v>1.5062778721813015</v>
      </c>
      <c r="G223" s="205">
        <f t="shared" si="183"/>
        <v>0.6860708813481227</v>
      </c>
      <c r="H223" s="205">
        <f t="shared" si="183"/>
        <v>0.3558033337235656</v>
      </c>
      <c r="I223" s="205">
        <f t="shared" si="183"/>
        <v>0.19505804517578557</v>
      </c>
      <c r="J223" s="205">
        <f t="shared" si="183"/>
        <v>0.10058264972907258</v>
      </c>
      <c r="K223" s="205">
        <f aca="true" t="shared" si="184" ref="K223:Z223">K140</f>
        <v>0.04190670952004759</v>
      </c>
      <c r="L223" s="205">
        <f t="shared" si="184"/>
        <v>0.00973521133846184</v>
      </c>
      <c r="M223" s="205">
        <f t="shared" si="184"/>
        <v>-0.0005806643540128622</v>
      </c>
      <c r="N223" s="205">
        <f t="shared" si="184"/>
        <v>0.006011388582329599</v>
      </c>
      <c r="O223" s="205">
        <f t="shared" si="184"/>
        <v>0.02308692851052536</v>
      </c>
      <c r="P223" s="205">
        <f t="shared" si="184"/>
        <v>0.042626560266738375</v>
      </c>
      <c r="Q223" s="205">
        <f t="shared" si="184"/>
        <v>0.05482020962042285</v>
      </c>
      <c r="R223" s="205">
        <f t="shared" si="184"/>
        <v>0.04707640449833978</v>
      </c>
      <c r="S223" s="205">
        <f t="shared" si="184"/>
        <v>0.0016395106799010032</v>
      </c>
      <c r="T223" s="205">
        <f t="shared" si="184"/>
        <v>-0.10884316034549382</v>
      </c>
      <c r="U223" s="205">
        <f t="shared" si="184"/>
        <v>-0.3292229484643942</v>
      </c>
      <c r="V223" s="205">
        <f t="shared" si="184"/>
        <v>-0.7347694633261882</v>
      </c>
      <c r="W223" s="205">
        <f t="shared" si="184"/>
        <v>-1.4418667871302306</v>
      </c>
      <c r="X223" s="205">
        <f t="shared" si="184"/>
        <v>-2.554165742160223</v>
      </c>
      <c r="Y223" s="205">
        <f t="shared" si="184"/>
        <v>-3.769306762479853</v>
      </c>
      <c r="Z223" s="205">
        <f t="shared" si="184"/>
        <v>-3.3361947912997807</v>
      </c>
      <c r="AA223" s="6"/>
    </row>
    <row r="224" spans="1:27" s="216" customFormat="1" ht="15.75">
      <c r="A224" s="75" t="s">
        <v>208</v>
      </c>
      <c r="B224" s="173">
        <f>B221*B215+B222*B216+B223*B62</f>
        <v>-55.42011393678786</v>
      </c>
      <c r="C224" s="173">
        <f aca="true" t="shared" si="185" ref="C224:J224">C221*C215+C222*C216+C223*C62</f>
        <v>-56.52081566834132</v>
      </c>
      <c r="D224" s="173">
        <f t="shared" si="185"/>
        <v>-31.09469761621884</v>
      </c>
      <c r="E224" s="173">
        <f t="shared" si="185"/>
        <v>-17.214546090211943</v>
      </c>
      <c r="F224" s="173">
        <f t="shared" si="185"/>
        <v>-6.425189254072754</v>
      </c>
      <c r="G224" s="173">
        <f t="shared" si="185"/>
        <v>0.3298679227093663</v>
      </c>
      <c r="H224" s="173">
        <f t="shared" si="185"/>
        <v>4.118604876768996</v>
      </c>
      <c r="I224" s="173">
        <f t="shared" si="185"/>
        <v>6.3893465013051705</v>
      </c>
      <c r="J224" s="173">
        <f t="shared" si="185"/>
        <v>7.772593411481842</v>
      </c>
      <c r="K224" s="173">
        <f aca="true" t="shared" si="186" ref="K224:Z224">K221*K215+K222*K216+K223*K62</f>
        <v>8.526736755122947</v>
      </c>
      <c r="L224" s="173">
        <f t="shared" si="186"/>
        <v>8.810106451472569</v>
      </c>
      <c r="M224" s="173">
        <f t="shared" si="186"/>
        <v>8.780383665691309</v>
      </c>
      <c r="N224" s="173">
        <f t="shared" si="186"/>
        <v>8.611381052105884</v>
      </c>
      <c r="O224" s="173">
        <f t="shared" si="186"/>
        <v>8.465310025398106</v>
      </c>
      <c r="P224" s="173">
        <f t="shared" si="186"/>
        <v>8.43992885104058</v>
      </c>
      <c r="Q224" s="173">
        <f t="shared" si="186"/>
        <v>8.520814237264831</v>
      </c>
      <c r="R224" s="173">
        <f t="shared" si="186"/>
        <v>8.576789023807741</v>
      </c>
      <c r="S224" s="173">
        <f t="shared" si="186"/>
        <v>8.3975070331264</v>
      </c>
      <c r="T224" s="173">
        <f t="shared" si="186"/>
        <v>7.725809806936533</v>
      </c>
      <c r="U224" s="173">
        <f t="shared" si="186"/>
        <v>6.250343979630548</v>
      </c>
      <c r="V224" s="173">
        <f t="shared" si="186"/>
        <v>3.543966892885346</v>
      </c>
      <c r="W224" s="173">
        <f t="shared" si="186"/>
        <v>-1.1325750476669971</v>
      </c>
      <c r="X224" s="173">
        <f t="shared" si="186"/>
        <v>-9.610577899153048</v>
      </c>
      <c r="Y224" s="173">
        <f t="shared" si="186"/>
        <v>-27.16488676812317</v>
      </c>
      <c r="Z224" s="173">
        <f t="shared" si="186"/>
        <v>-56.4084078741549</v>
      </c>
      <c r="AA224" s="6"/>
    </row>
    <row r="225" spans="1:27" s="216" customFormat="1" ht="15.75">
      <c r="A225" s="76" t="s">
        <v>46</v>
      </c>
      <c r="B225" s="94">
        <f>B224-B145</f>
        <v>0</v>
      </c>
      <c r="C225" s="94">
        <f aca="true" t="shared" si="187" ref="C225:J225">C224-C145</f>
        <v>0</v>
      </c>
      <c r="D225" s="94">
        <f t="shared" si="187"/>
        <v>0</v>
      </c>
      <c r="E225" s="94">
        <f t="shared" si="187"/>
        <v>0</v>
      </c>
      <c r="F225" s="94">
        <f t="shared" si="187"/>
        <v>0</v>
      </c>
      <c r="G225" s="94">
        <f t="shared" si="187"/>
        <v>0</v>
      </c>
      <c r="H225" s="94">
        <f t="shared" si="187"/>
        <v>0</v>
      </c>
      <c r="I225" s="94">
        <f t="shared" si="187"/>
        <v>0</v>
      </c>
      <c r="J225" s="94">
        <f t="shared" si="187"/>
        <v>0</v>
      </c>
      <c r="K225" s="94">
        <f aca="true" t="shared" si="188" ref="K225:Z225">K224-K145</f>
        <v>0</v>
      </c>
      <c r="L225" s="94">
        <f t="shared" si="188"/>
        <v>0</v>
      </c>
      <c r="M225" s="94">
        <f t="shared" si="188"/>
        <v>0</v>
      </c>
      <c r="N225" s="94">
        <f t="shared" si="188"/>
        <v>0</v>
      </c>
      <c r="O225" s="94">
        <f t="shared" si="188"/>
        <v>0</v>
      </c>
      <c r="P225" s="94">
        <f t="shared" si="188"/>
        <v>0</v>
      </c>
      <c r="Q225" s="94">
        <f t="shared" si="188"/>
        <v>0</v>
      </c>
      <c r="R225" s="94">
        <f t="shared" si="188"/>
        <v>0</v>
      </c>
      <c r="S225" s="94">
        <f t="shared" si="188"/>
        <v>0</v>
      </c>
      <c r="T225" s="94">
        <f t="shared" si="188"/>
        <v>0</v>
      </c>
      <c r="U225" s="94">
        <f t="shared" si="188"/>
        <v>0</v>
      </c>
      <c r="V225" s="94">
        <f t="shared" si="188"/>
        <v>0</v>
      </c>
      <c r="W225" s="94">
        <f t="shared" si="188"/>
        <v>0</v>
      </c>
      <c r="X225" s="94">
        <f t="shared" si="188"/>
        <v>0</v>
      </c>
      <c r="Y225" s="94">
        <f t="shared" si="188"/>
        <v>0</v>
      </c>
      <c r="Z225" s="94">
        <f t="shared" si="188"/>
        <v>0</v>
      </c>
      <c r="AA225" s="6"/>
    </row>
    <row r="226" spans="1:26" s="216" customFormat="1" ht="15.75">
      <c r="A226" s="80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s="216" customFormat="1" ht="15.75">
      <c r="A227" s="75"/>
      <c r="B227" s="20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s="216" customFormat="1" ht="15.75">
      <c r="A228" s="81" t="s">
        <v>219</v>
      </c>
      <c r="B228" s="20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s="216" customFormat="1" ht="15.75">
      <c r="A229" s="80" t="s">
        <v>220</v>
      </c>
      <c r="B229" s="205">
        <f>B89+B221+B207</f>
        <v>-12.522351896277517</v>
      </c>
      <c r="C229" s="205">
        <f>C89+C221+C207</f>
        <v>20.300428481877184</v>
      </c>
      <c r="D229" s="205">
        <f>D89+D221+D207</f>
        <v>-11.041294811927497</v>
      </c>
      <c r="E229" s="205">
        <f>E89+E221+E207</f>
        <v>-6.012670619926026</v>
      </c>
      <c r="F229" s="205">
        <f aca="true" t="shared" si="189" ref="F229:Z229">F89+F221+F207</f>
        <v>-4.6278017615957925</v>
      </c>
      <c r="G229" s="205">
        <f t="shared" si="189"/>
        <v>-4.101209090646454</v>
      </c>
      <c r="H229" s="205">
        <f t="shared" si="189"/>
        <v>-3.6867315878307867</v>
      </c>
      <c r="I229" s="205">
        <f t="shared" si="189"/>
        <v>-3.3297372034917596</v>
      </c>
      <c r="J229" s="205">
        <f t="shared" si="189"/>
        <v>-3.0725894140334846</v>
      </c>
      <c r="K229" s="205">
        <f t="shared" si="189"/>
        <v>-2.9735557224432814</v>
      </c>
      <c r="L229" s="205">
        <f t="shared" si="189"/>
        <v>-3.0583425642660154</v>
      </c>
      <c r="M229" s="205">
        <f t="shared" si="189"/>
        <v>-3.300957942384948</v>
      </c>
      <c r="N229" s="205">
        <f t="shared" si="189"/>
        <v>-3.667222484013452</v>
      </c>
      <c r="O229" s="205">
        <f t="shared" si="189"/>
        <v>-2.7101716412223897</v>
      </c>
      <c r="P229" s="205">
        <f t="shared" si="189"/>
        <v>-3.7803714585786135</v>
      </c>
      <c r="Q229" s="205">
        <f t="shared" si="189"/>
        <v>-3.8191706499764497</v>
      </c>
      <c r="R229" s="205">
        <f t="shared" si="189"/>
        <v>-3.6448872029998607</v>
      </c>
      <c r="S229" s="205">
        <f t="shared" si="189"/>
        <v>-3.2949411908043214</v>
      </c>
      <c r="T229" s="205">
        <f t="shared" si="189"/>
        <v>-2.804819506737452</v>
      </c>
      <c r="U229" s="205">
        <f t="shared" si="189"/>
        <v>-2.194771888067266</v>
      </c>
      <c r="V229" s="205">
        <f t="shared" si="189"/>
        <v>-1.3833512273165947</v>
      </c>
      <c r="W229" s="205">
        <f t="shared" si="189"/>
        <v>-0.05552418999865605</v>
      </c>
      <c r="X229" s="205">
        <f t="shared" si="189"/>
        <v>2.025831230703089</v>
      </c>
      <c r="Y229" s="205">
        <f t="shared" si="189"/>
        <v>2.0264806176739913</v>
      </c>
      <c r="Z229" s="205">
        <f t="shared" si="189"/>
        <v>-11.876349219771758</v>
      </c>
    </row>
    <row r="230" spans="1:26" s="216" customFormat="1" ht="15.75">
      <c r="A230" s="80" t="s">
        <v>221</v>
      </c>
      <c r="B230" s="205">
        <f>B90+$L$6+B222+B208</f>
        <v>-274.72327297662883</v>
      </c>
      <c r="C230" s="205">
        <f>C90+$L$6+C222+C208</f>
        <v>3850.951977000134</v>
      </c>
      <c r="D230" s="205">
        <f>D90+$L$6+D222+D208</f>
        <v>-4100.291391529249</v>
      </c>
      <c r="E230" s="205">
        <f>E90+$L$6+E222+E208</f>
        <v>-71.37958416169315</v>
      </c>
      <c r="F230" s="205">
        <f aca="true" t="shared" si="190" ref="F230:Z230">F90+$L$6+F222+F208</f>
        <v>17.36837072806683</v>
      </c>
      <c r="G230" s="205">
        <f t="shared" si="190"/>
        <v>51.077288050303444</v>
      </c>
      <c r="H230" s="205">
        <f t="shared" si="190"/>
        <v>75.80281155461248</v>
      </c>
      <c r="I230" s="205">
        <f t="shared" si="190"/>
        <v>107.91161498989615</v>
      </c>
      <c r="J230" s="205">
        <f t="shared" si="190"/>
        <v>173.5645765440373</v>
      </c>
      <c r="K230" s="205">
        <f t="shared" si="190"/>
        <v>400.86021643880105</v>
      </c>
      <c r="L230" s="205">
        <f t="shared" si="190"/>
        <v>-6906.874781263787</v>
      </c>
      <c r="M230" s="205">
        <f t="shared" si="190"/>
        <v>-631.2875929661067</v>
      </c>
      <c r="N230" s="205">
        <f t="shared" si="190"/>
        <v>-699.3205281268938</v>
      </c>
      <c r="O230" s="205">
        <f t="shared" si="190"/>
        <v>3250.4372772092206</v>
      </c>
      <c r="P230" s="205">
        <f t="shared" si="190"/>
        <v>303.21428165782754</v>
      </c>
      <c r="Q230" s="205">
        <f t="shared" si="190"/>
        <v>140.12913588625753</v>
      </c>
      <c r="R230" s="205">
        <f t="shared" si="190"/>
        <v>86.7856908642196</v>
      </c>
      <c r="S230" s="205">
        <f t="shared" si="190"/>
        <v>61.232493892174475</v>
      </c>
      <c r="T230" s="205">
        <f t="shared" si="190"/>
        <v>46.10772349195014</v>
      </c>
      <c r="U230" s="205">
        <f t="shared" si="190"/>
        <v>35.329904729579646</v>
      </c>
      <c r="V230" s="205">
        <f t="shared" si="190"/>
        <v>25.58408495564083</v>
      </c>
      <c r="W230" s="205">
        <f t="shared" si="190"/>
        <v>13.290541246787932</v>
      </c>
      <c r="X230" s="205">
        <f t="shared" si="190"/>
        <v>-9.746276032145477</v>
      </c>
      <c r="Y230" s="205">
        <f t="shared" si="190"/>
        <v>-72.45742187946014</v>
      </c>
      <c r="Z230" s="205">
        <f t="shared" si="190"/>
        <v>-330.8253132679575</v>
      </c>
    </row>
    <row r="231" spans="1:26" s="216" customFormat="1" ht="15.75">
      <c r="A231" s="80" t="s">
        <v>222</v>
      </c>
      <c r="B231" s="205">
        <f>B91+B223-B89*(B83-B32)-B221*($B$12-B32)+(B90+$L$6)*(B82-B31)+B222*($B$11-B31)-B207*(B73-B32)+B208*(B72-B31)+B209*B118/B62</f>
        <v>-290.3079230518414</v>
      </c>
      <c r="C231" s="205">
        <f>C91+C223-C89*(C83-C32)-C221*($B$12-C32)+(C90+$L$6)*(C82-C31)+C222*($B$11-C31)-C207*(C73-C32)+C208*(C72-C31)+C209*C118/C62</f>
        <v>4059.541101674864</v>
      </c>
      <c r="D231" s="205">
        <f>D91+D223-D89*(D83-D32)-D221*($B$12-D32)+(D90+$L$6)*(D82-D31)+D222*($B$11-D31)-D207*(D73-D32)+D208*(D72-D31)+D209*D118/D62</f>
        <v>-4555.937903608399</v>
      </c>
      <c r="E231" s="205">
        <f>E91+E223-E89*(E83-E32)-E221*($B$12-E32)+(E90+$L$6)*(E82-E31)+E222*($B$11-E31)-E207*(E73-E32)+E208*(E72-E31)+E209*E118/E62</f>
        <v>4.443580318470359</v>
      </c>
      <c r="F231" s="205">
        <f aca="true" t="shared" si="191" ref="F231:Z231">F91+F223-F89*(F83-F32)-F221*($B$12-F32)+(F90+$L$6)*(F82-F31)+F222*($B$11-F31)-F207*(F73-F32)+F208*(F72-F31)+F209*F118/F62</f>
        <v>89.40026055748727</v>
      </c>
      <c r="G231" s="205">
        <f t="shared" si="191"/>
        <v>107.50387339084313</v>
      </c>
      <c r="H231" s="205">
        <f t="shared" si="191"/>
        <v>182.51984956891602</v>
      </c>
      <c r="I231" s="205">
        <f t="shared" si="191"/>
        <v>266.7238700933584</v>
      </c>
      <c r="J231" s="205">
        <f t="shared" si="191"/>
        <v>450.53102089377006</v>
      </c>
      <c r="K231" s="205">
        <f t="shared" si="191"/>
        <v>1098.3040741510301</v>
      </c>
      <c r="L231" s="205">
        <f t="shared" si="191"/>
        <v>-19850.951621611985</v>
      </c>
      <c r="M231" s="205">
        <f t="shared" si="191"/>
        <v>-1874.9567141772363</v>
      </c>
      <c r="N231" s="205">
        <f t="shared" si="191"/>
        <v>-2100.527558160456</v>
      </c>
      <c r="O231" s="205">
        <f t="shared" si="191"/>
        <v>9619.235279323713</v>
      </c>
      <c r="P231" s="205">
        <f t="shared" si="191"/>
        <v>858.3242737638833</v>
      </c>
      <c r="Q231" s="205">
        <f t="shared" si="191"/>
        <v>367.0533088099008</v>
      </c>
      <c r="R231" s="205">
        <f t="shared" si="191"/>
        <v>202.42403880686052</v>
      </c>
      <c r="S231" s="205">
        <f t="shared" si="191"/>
        <v>121.12333122405506</v>
      </c>
      <c r="T231" s="205">
        <f t="shared" si="191"/>
        <v>71.97236985054286</v>
      </c>
      <c r="U231" s="205">
        <f t="shared" si="191"/>
        <v>37.957595822916794</v>
      </c>
      <c r="V231" s="205">
        <f t="shared" si="191"/>
        <v>12.335206082317544</v>
      </c>
      <c r="W231" s="205">
        <f t="shared" si="191"/>
        <v>-42.04821762391207</v>
      </c>
      <c r="X231" s="205">
        <f t="shared" si="191"/>
        <v>-65.57062669503092</v>
      </c>
      <c r="Y231" s="205">
        <f t="shared" si="191"/>
        <v>-141.82277672383393</v>
      </c>
      <c r="Z231" s="205">
        <f t="shared" si="191"/>
        <v>-387.90107817622436</v>
      </c>
    </row>
    <row r="232" spans="1:27" s="216" customFormat="1" ht="15.75">
      <c r="A232" s="80" t="s">
        <v>223</v>
      </c>
      <c r="B232" s="205">
        <f>B229*B33+B230*B34+B231*B62</f>
        <v>-37.061790564622726</v>
      </c>
      <c r="C232" s="205">
        <f>C229*C33+C230*C34+C231*C62</f>
        <v>-115.42459322020432</v>
      </c>
      <c r="D232" s="205">
        <f>D229*D33+D230*D34+D231*D62</f>
        <v>-116.58915225353121</v>
      </c>
      <c r="E232" s="205">
        <f>E229*E33+E230*E34+E231*E62</f>
        <v>-41.07387225250901</v>
      </c>
      <c r="F232" s="205">
        <f aca="true" t="shared" si="192" ref="F232:Z232">F229*F33+F230*F34+F231*F62</f>
        <v>-1.8073037763111</v>
      </c>
      <c r="G232" s="205">
        <f t="shared" si="192"/>
        <v>11.13986641945549</v>
      </c>
      <c r="H232" s="205">
        <f t="shared" si="192"/>
        <v>14.81190008841306</v>
      </c>
      <c r="I232" s="205">
        <f t="shared" si="192"/>
        <v>14.892220130800247</v>
      </c>
      <c r="J232" s="205">
        <f t="shared" si="192"/>
        <v>13.51890201703786</v>
      </c>
      <c r="K232" s="205">
        <f t="shared" si="192"/>
        <v>11.722092764554958</v>
      </c>
      <c r="L232" s="205">
        <f t="shared" si="192"/>
        <v>10.037301676493371</v>
      </c>
      <c r="M232" s="205">
        <f t="shared" si="192"/>
        <v>8.701957046213863</v>
      </c>
      <c r="N232" s="205">
        <f t="shared" si="192"/>
        <v>7.785903816660721</v>
      </c>
      <c r="O232" s="205">
        <f t="shared" si="192"/>
        <v>7.295256522890668</v>
      </c>
      <c r="P232" s="205">
        <f t="shared" si="192"/>
        <v>7.226424286633716</v>
      </c>
      <c r="Q232" s="205">
        <f t="shared" si="192"/>
        <v>7.565648709060177</v>
      </c>
      <c r="R232" s="205">
        <f t="shared" si="192"/>
        <v>8.258172350890831</v>
      </c>
      <c r="S232" s="205">
        <f t="shared" si="192"/>
        <v>9.18074734055742</v>
      </c>
      <c r="T232" s="205">
        <f t="shared" si="192"/>
        <v>10.125960479695284</v>
      </c>
      <c r="U232" s="205">
        <f t="shared" si="192"/>
        <v>10.776764555011756</v>
      </c>
      <c r="V232" s="205">
        <f t="shared" si="192"/>
        <v>10.685748323662718</v>
      </c>
      <c r="W232" s="205">
        <f t="shared" si="192"/>
        <v>9.397075765024491</v>
      </c>
      <c r="X232" s="205">
        <f t="shared" si="192"/>
        <v>6.790301527491984</v>
      </c>
      <c r="Y232" s="205">
        <f t="shared" si="192"/>
        <v>2.2903339880005404</v>
      </c>
      <c r="Z232" s="205">
        <f t="shared" si="192"/>
        <v>-13.46726429195536</v>
      </c>
      <c r="AA232" s="6"/>
    </row>
    <row r="233" spans="1:27" s="216" customFormat="1" ht="15.75">
      <c r="A233" s="76" t="s">
        <v>46</v>
      </c>
      <c r="B233" s="7">
        <f>B232-(B96+B145+B154+B197+B177)</f>
        <v>-7.105427357601002E-14</v>
      </c>
      <c r="C233" s="7">
        <f>C232-(C96+C145+C154+C197+C177)</f>
        <v>0</v>
      </c>
      <c r="D233" s="7">
        <f>D232-(D96+D145+D154+D197+D177)</f>
        <v>1.1368683772161603E-13</v>
      </c>
      <c r="E233" s="7">
        <f>E232-(E96+E145+E154+E197+E177)</f>
        <v>0</v>
      </c>
      <c r="F233" s="7">
        <f aca="true" t="shared" si="193" ref="F233:Z233">F232-(F96+F145+F154+F197+F177)</f>
        <v>0</v>
      </c>
      <c r="G233" s="7">
        <f t="shared" si="193"/>
        <v>0</v>
      </c>
      <c r="H233" s="7">
        <f t="shared" si="193"/>
        <v>0</v>
      </c>
      <c r="I233" s="7">
        <f t="shared" si="193"/>
        <v>0</v>
      </c>
      <c r="J233" s="7">
        <f t="shared" si="193"/>
        <v>0</v>
      </c>
      <c r="K233" s="7">
        <f t="shared" si="193"/>
        <v>0</v>
      </c>
      <c r="L233" s="7">
        <f t="shared" si="193"/>
        <v>1.1297629498585593E-12</v>
      </c>
      <c r="M233" s="7">
        <f t="shared" si="193"/>
        <v>-4.618527782440651E-14</v>
      </c>
      <c r="N233" s="7">
        <f t="shared" si="193"/>
        <v>2.7533531010703882E-14</v>
      </c>
      <c r="O233" s="7">
        <f t="shared" si="193"/>
        <v>0</v>
      </c>
      <c r="P233" s="7">
        <f t="shared" si="193"/>
        <v>-1.0658141036401503E-14</v>
      </c>
      <c r="Q233" s="7">
        <f t="shared" si="193"/>
        <v>8.881784197001252E-15</v>
      </c>
      <c r="R233" s="7">
        <f t="shared" si="193"/>
        <v>0</v>
      </c>
      <c r="S233" s="7">
        <f t="shared" si="193"/>
        <v>0</v>
      </c>
      <c r="T233" s="7">
        <f t="shared" si="193"/>
        <v>0</v>
      </c>
      <c r="U233" s="7">
        <f t="shared" si="193"/>
        <v>0</v>
      </c>
      <c r="V233" s="7">
        <f t="shared" si="193"/>
        <v>0</v>
      </c>
      <c r="W233" s="7">
        <f t="shared" si="193"/>
        <v>0</v>
      </c>
      <c r="X233" s="7">
        <f t="shared" si="193"/>
        <v>0</v>
      </c>
      <c r="Y233" s="7">
        <f t="shared" si="193"/>
        <v>0</v>
      </c>
      <c r="Z233" s="7">
        <f t="shared" si="193"/>
        <v>5.861977570020827E-14</v>
      </c>
      <c r="AA233" s="6"/>
    </row>
    <row r="234" spans="1:27" s="216" customFormat="1" ht="15.75">
      <c r="A234" s="7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6"/>
    </row>
    <row r="235" spans="1:27" s="216" customFormat="1" ht="15.75">
      <c r="A235" s="243" t="s">
        <v>209</v>
      </c>
      <c r="B235" s="224"/>
      <c r="C235" s="22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6"/>
    </row>
    <row r="236" spans="1:27" s="216" customFormat="1" ht="15.75">
      <c r="A236" s="75" t="s">
        <v>210</v>
      </c>
      <c r="B236" s="205">
        <f>B229+B46</f>
        <v>-13.522351896277517</v>
      </c>
      <c r="C236" s="205">
        <f>C229+C46</f>
        <v>20.74426588828896</v>
      </c>
      <c r="D236" s="205">
        <f>D229+D46</f>
        <v>-8.404836391161778</v>
      </c>
      <c r="E236" s="205">
        <f>E229+E46</f>
        <v>-2.7816246939013043</v>
      </c>
      <c r="F236" s="205">
        <f aca="true" t="shared" si="194" ref="F236:Z236">F229+F46</f>
        <v>-2.3066481658718008</v>
      </c>
      <c r="G236" s="205">
        <f t="shared" si="194"/>
        <v>-2.3729013634516223</v>
      </c>
      <c r="H236" s="205">
        <f t="shared" si="194"/>
        <v>-2.211538946235687</v>
      </c>
      <c r="I236" s="205">
        <f t="shared" si="194"/>
        <v>-2.0239167319068976</v>
      </c>
      <c r="J236" s="205">
        <f t="shared" si="194"/>
        <v>-1.9748602894958092</v>
      </c>
      <c r="K236" s="205">
        <f t="shared" si="194"/>
        <v>-2.138445417230021</v>
      </c>
      <c r="L236" s="205">
        <f t="shared" si="194"/>
        <v>-2.4955543719223723</v>
      </c>
      <c r="M236" s="205">
        <f t="shared" si="194"/>
        <v>-2.9644573715700435</v>
      </c>
      <c r="N236" s="205">
        <f t="shared" si="194"/>
        <v>-3.4833586028124603</v>
      </c>
      <c r="O236" s="205">
        <f t="shared" si="194"/>
        <v>-2.623490094424441</v>
      </c>
      <c r="P236" s="205">
        <f t="shared" si="194"/>
        <v>-3.7942220520223815</v>
      </c>
      <c r="Q236" s="205">
        <f t="shared" si="194"/>
        <v>-4.013731118880295</v>
      </c>
      <c r="R236" s="205">
        <f t="shared" si="194"/>
        <v>-4.164236479695529</v>
      </c>
      <c r="S236" s="205">
        <f t="shared" si="194"/>
        <v>-4.305321048141301</v>
      </c>
      <c r="T236" s="205">
        <f t="shared" si="194"/>
        <v>-4.434989593374413</v>
      </c>
      <c r="U236" s="205">
        <f t="shared" si="194"/>
        <v>-4.474766364805765</v>
      </c>
      <c r="V236" s="205">
        <f t="shared" si="194"/>
        <v>-4.199776774330458</v>
      </c>
      <c r="W236" s="205">
        <f t="shared" si="194"/>
        <v>-3.1381982608597325</v>
      </c>
      <c r="X236" s="205">
        <f t="shared" si="194"/>
        <v>-0.9234761968843488</v>
      </c>
      <c r="Y236" s="205">
        <f t="shared" si="194"/>
        <v>-0.3318548301885347</v>
      </c>
      <c r="Z236" s="205">
        <f t="shared" si="194"/>
        <v>-13.216408641164639</v>
      </c>
      <c r="AA236" s="6"/>
    </row>
    <row r="237" spans="1:27" s="216" customFormat="1" ht="15.75">
      <c r="A237" s="75" t="s">
        <v>211</v>
      </c>
      <c r="B237" s="205">
        <f>B230+B47+$L$5</f>
        <v>-268.91327297662883</v>
      </c>
      <c r="C237" s="205">
        <f>C230+C47+$L$5</f>
        <v>3856.6457543876286</v>
      </c>
      <c r="D237" s="205">
        <f>D230+D47+$L$5</f>
        <v>-4093.814141837495</v>
      </c>
      <c r="E237" s="205">
        <f>E230+E47+$L$5</f>
        <v>-63.27847967742028</v>
      </c>
      <c r="F237" s="205">
        <f aca="true" t="shared" si="195" ref="F237:Z237">F230+F47+$L$5</f>
        <v>26.391284152012</v>
      </c>
      <c r="G237" s="205">
        <f t="shared" si="195"/>
        <v>60.49557597088395</v>
      </c>
      <c r="H237" s="205">
        <f t="shared" si="195"/>
        <v>85.5300147114205</v>
      </c>
      <c r="I237" s="205">
        <f t="shared" si="195"/>
        <v>117.95643222856651</v>
      </c>
      <c r="J237" s="205">
        <f t="shared" si="195"/>
        <v>183.90225588022275</v>
      </c>
      <c r="K237" s="205">
        <f t="shared" si="195"/>
        <v>411.40738971508847</v>
      </c>
      <c r="L237" s="205">
        <f t="shared" si="195"/>
        <v>-6896.2291589578135</v>
      </c>
      <c r="M237" s="205">
        <f t="shared" si="195"/>
        <v>-620.6329741259492</v>
      </c>
      <c r="N237" s="205">
        <f t="shared" si="195"/>
        <v>-688.6883712382812</v>
      </c>
      <c r="O237" s="205">
        <f t="shared" si="195"/>
        <v>3261.080081541766</v>
      </c>
      <c r="P237" s="205">
        <f t="shared" si="195"/>
        <v>313.9405875308228</v>
      </c>
      <c r="Q237" s="205">
        <f t="shared" si="195"/>
        <v>151.005117593891</v>
      </c>
      <c r="R237" s="205">
        <f t="shared" si="195"/>
        <v>97.81917986978748</v>
      </c>
      <c r="S237" s="205">
        <f t="shared" si="195"/>
        <v>72.33433732213253</v>
      </c>
      <c r="T237" s="205">
        <f t="shared" si="195"/>
        <v>57.08066721874954</v>
      </c>
      <c r="U237" s="205">
        <f t="shared" si="195"/>
        <v>45.891939792375524</v>
      </c>
      <c r="V237" s="205">
        <f t="shared" si="195"/>
        <v>35.42360711077816</v>
      </c>
      <c r="W237" s="205">
        <f t="shared" si="195"/>
        <v>22.14206434023035</v>
      </c>
      <c r="X237" s="205">
        <f t="shared" si="195"/>
        <v>-2.0217680420592394</v>
      </c>
      <c r="Y237" s="205">
        <f t="shared" si="195"/>
        <v>-65.80936433372118</v>
      </c>
      <c r="Z237" s="205">
        <f t="shared" si="195"/>
        <v>-324.99936274869657</v>
      </c>
      <c r="AA237" s="6"/>
    </row>
    <row r="238" spans="1:27" s="216" customFormat="1" ht="15.75">
      <c r="A238" s="75" t="s">
        <v>206</v>
      </c>
      <c r="B238" s="205">
        <f>B231*B62/B26+B48-B46*B40-B229*B32+(B47+$L$5)*B39+B230*B31</f>
        <v>-27.251790564622695</v>
      </c>
      <c r="C238" s="205">
        <f>C231*C62/C26+C48-C46*C40-C229*C32+(C47+$L$5)*C39+C230*C31</f>
        <v>-117.74002762800865</v>
      </c>
      <c r="D238" s="205">
        <f>D231*D62/D26+D48-D46*D40-D229*D32+(D47+$L$5)*D39+D230*D31</f>
        <v>-137.61807530393708</v>
      </c>
      <c r="E238" s="205">
        <f>E231*E62/E26+E48-E46*E40-E229*E32+(E47+$L$5)*E39+E230*E31</f>
        <v>-76.22612788399744</v>
      </c>
      <c r="F238" s="205">
        <f aca="true" t="shared" si="196" ref="F238:Z238">F231*F62/F26+F48-F46*F40-F229*F32+(F47+$L$5)*F39+F230*F31</f>
        <v>-36.11675615794731</v>
      </c>
      <c r="G238" s="205">
        <f t="shared" si="196"/>
        <v>-20.188328273421227</v>
      </c>
      <c r="H238" s="205">
        <f t="shared" si="196"/>
        <v>-15.484944750383697</v>
      </c>
      <c r="I238" s="205">
        <f t="shared" si="196"/>
        <v>-14.946662966398549</v>
      </c>
      <c r="J238" s="205">
        <f t="shared" si="196"/>
        <v>-14.731140587584193</v>
      </c>
      <c r="K238" s="205">
        <f t="shared" si="196"/>
        <v>-12.825059417289594</v>
      </c>
      <c r="L238" s="205">
        <f t="shared" si="196"/>
        <v>-8.421305410399327</v>
      </c>
      <c r="M238" s="205">
        <f t="shared" si="196"/>
        <v>-1.5300240672112295</v>
      </c>
      <c r="N238" s="205">
        <f t="shared" si="196"/>
        <v>7.325327460089625</v>
      </c>
      <c r="O238" s="205">
        <f t="shared" si="196"/>
        <v>17.36757216174192</v>
      </c>
      <c r="P238" s="205">
        <f t="shared" si="196"/>
        <v>27.766121430028193</v>
      </c>
      <c r="Q238" s="205">
        <f t="shared" si="196"/>
        <v>37.73077971282608</v>
      </c>
      <c r="R238" s="205">
        <f t="shared" si="196"/>
        <v>46.499503219032036</v>
      </c>
      <c r="S238" s="205">
        <f t="shared" si="196"/>
        <v>53.32243800989345</v>
      </c>
      <c r="T238" s="205">
        <f t="shared" si="196"/>
        <v>57.50117256900075</v>
      </c>
      <c r="U238" s="205">
        <f t="shared" si="196"/>
        <v>58.42559727014954</v>
      </c>
      <c r="V238" s="205">
        <f t="shared" si="196"/>
        <v>55.59902855106284</v>
      </c>
      <c r="W238" s="205">
        <f t="shared" si="196"/>
        <v>48.793655820836136</v>
      </c>
      <c r="X238" s="205">
        <f t="shared" si="196"/>
        <v>38.361895612800076</v>
      </c>
      <c r="Y238" s="205">
        <f t="shared" si="196"/>
        <v>24.285674202925136</v>
      </c>
      <c r="Z238" s="205">
        <f t="shared" si="196"/>
        <v>-2.0920152468883657</v>
      </c>
      <c r="AA238" s="6"/>
    </row>
    <row r="239" spans="1:27" s="216" customFormat="1" ht="15.75">
      <c r="A239" s="75" t="s">
        <v>205</v>
      </c>
      <c r="B239" s="207">
        <f aca="true" t="shared" si="197" ref="B239:Z239">B238*B26</f>
        <v>-27.251790564622695</v>
      </c>
      <c r="C239" s="207">
        <f t="shared" si="197"/>
        <v>-117.74002762800865</v>
      </c>
      <c r="D239" s="207">
        <f t="shared" si="197"/>
        <v>-134.3452871527321</v>
      </c>
      <c r="E239" s="207">
        <f t="shared" si="197"/>
        <v>-66.39049787221441</v>
      </c>
      <c r="F239" s="207">
        <f t="shared" si="197"/>
        <v>-26.476527211190657</v>
      </c>
      <c r="G239" s="207">
        <f t="shared" si="197"/>
        <v>-12.967801136910701</v>
      </c>
      <c r="H239" s="207">
        <f t="shared" si="197"/>
        <v>-9.186821825339333</v>
      </c>
      <c r="I239" s="207">
        <f t="shared" si="197"/>
        <v>-8.423622888300882</v>
      </c>
      <c r="J239" s="207">
        <f t="shared" si="197"/>
        <v>-7.9489443678971305</v>
      </c>
      <c r="K239" s="207">
        <f t="shared" si="197"/>
        <v>-6.610408683486687</v>
      </c>
      <c r="L239" s="207">
        <f t="shared" si="197"/>
        <v>-4.130549528164648</v>
      </c>
      <c r="M239" s="207">
        <f t="shared" si="197"/>
        <v>-0.7155463448221552</v>
      </c>
      <c r="N239" s="207">
        <f t="shared" si="197"/>
        <v>3.310725504361502</v>
      </c>
      <c r="O239" s="207">
        <f t="shared" si="197"/>
        <v>7.798069568947924</v>
      </c>
      <c r="P239" s="207">
        <f t="shared" si="197"/>
        <v>12.862349449223558</v>
      </c>
      <c r="Q239" s="207">
        <f t="shared" si="197"/>
        <v>18.712827916691943</v>
      </c>
      <c r="R239" s="207">
        <f t="shared" si="197"/>
        <v>25.33351907831715</v>
      </c>
      <c r="S239" s="207">
        <f t="shared" si="197"/>
        <v>32.273337059225156</v>
      </c>
      <c r="T239" s="207">
        <f t="shared" si="197"/>
        <v>38.657636187053406</v>
      </c>
      <c r="U239" s="207">
        <f t="shared" si="197"/>
        <v>43.32303469126917</v>
      </c>
      <c r="V239" s="207">
        <f t="shared" si="197"/>
        <v>44.98960384622967</v>
      </c>
      <c r="W239" s="207">
        <f t="shared" si="197"/>
        <v>42.55729510899534</v>
      </c>
      <c r="X239" s="207">
        <f t="shared" si="197"/>
        <v>35.592874467248016</v>
      </c>
      <c r="Y239" s="207">
        <f t="shared" si="197"/>
        <v>23.64724228594653</v>
      </c>
      <c r="Z239" s="207">
        <f t="shared" si="197"/>
        <v>-2.108944821611753</v>
      </c>
      <c r="AA239" s="6"/>
    </row>
    <row r="240" spans="1:26" s="3" customFormat="1" ht="15" customHeight="1">
      <c r="A240" s="98" t="s">
        <v>46</v>
      </c>
      <c r="B240" s="226">
        <f aca="true" t="shared" si="198" ref="B240:Z240">B239-(B96+B145+B154+B197+B177+B53)</f>
        <v>-4.263256414560601E-14</v>
      </c>
      <c r="C240" s="226">
        <f t="shared" si="198"/>
        <v>1.8474111129762605E-13</v>
      </c>
      <c r="D240" s="226">
        <f t="shared" si="198"/>
        <v>7.673861546209082E-13</v>
      </c>
      <c r="E240" s="226">
        <f t="shared" si="198"/>
        <v>0</v>
      </c>
      <c r="F240" s="226">
        <f t="shared" si="198"/>
        <v>0</v>
      </c>
      <c r="G240" s="226">
        <f t="shared" si="198"/>
        <v>0</v>
      </c>
      <c r="H240" s="226">
        <f t="shared" si="198"/>
        <v>0</v>
      </c>
      <c r="I240" s="226">
        <f t="shared" si="198"/>
        <v>0</v>
      </c>
      <c r="J240" s="226">
        <f t="shared" si="198"/>
        <v>-1.2434497875801753E-14</v>
      </c>
      <c r="K240" s="226">
        <f t="shared" si="198"/>
        <v>-5.5067062021407764E-14</v>
      </c>
      <c r="L240" s="226">
        <f t="shared" si="198"/>
        <v>5.542233338928781E-13</v>
      </c>
      <c r="M240" s="226">
        <f t="shared" si="198"/>
        <v>-1.6542323066914832E-14</v>
      </c>
      <c r="N240" s="226">
        <f t="shared" si="198"/>
        <v>-3.68594044175552E-14</v>
      </c>
      <c r="O240" s="226">
        <f t="shared" si="198"/>
        <v>1.5365486660812167E-13</v>
      </c>
      <c r="P240" s="226">
        <f t="shared" si="198"/>
        <v>0</v>
      </c>
      <c r="Q240" s="226">
        <f t="shared" si="198"/>
        <v>0</v>
      </c>
      <c r="R240" s="226">
        <f t="shared" si="198"/>
        <v>0</v>
      </c>
      <c r="S240" s="226">
        <f t="shared" si="198"/>
        <v>0</v>
      </c>
      <c r="T240" s="226">
        <f t="shared" si="198"/>
        <v>0</v>
      </c>
      <c r="U240" s="226">
        <f t="shared" si="198"/>
        <v>0</v>
      </c>
      <c r="V240" s="226">
        <f t="shared" si="198"/>
        <v>0</v>
      </c>
      <c r="W240" s="226">
        <f t="shared" si="198"/>
        <v>0</v>
      </c>
      <c r="X240" s="226">
        <f t="shared" si="198"/>
        <v>0</v>
      </c>
      <c r="Y240" s="226">
        <f t="shared" si="198"/>
        <v>0</v>
      </c>
      <c r="Z240" s="226">
        <f t="shared" si="198"/>
        <v>3.4638958368304884E-14</v>
      </c>
    </row>
    <row r="241" spans="1:27" s="216" customFormat="1" ht="15.75">
      <c r="A241" s="7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6"/>
    </row>
    <row r="242" spans="1:27" s="9" customFormat="1" ht="30.75" customHeight="1">
      <c r="A242" s="82" t="s">
        <v>224</v>
      </c>
      <c r="B242" s="96">
        <f>(B53+B96+B145+B154+B177+B197)/B26</f>
        <v>-27.251790564622652</v>
      </c>
      <c r="C242" s="96">
        <f aca="true" t="shared" si="199" ref="C242:Z242">(C53+C96+C145+C154+C177+C197)/C26</f>
        <v>-117.74002762800882</v>
      </c>
      <c r="D242" s="96">
        <f t="shared" si="199"/>
        <v>-137.61807530393787</v>
      </c>
      <c r="E242" s="96">
        <f t="shared" si="199"/>
        <v>-76.22612788399744</v>
      </c>
      <c r="F242" s="96">
        <f t="shared" si="199"/>
        <v>-36.11675615794731</v>
      </c>
      <c r="G242" s="96">
        <f t="shared" si="199"/>
        <v>-20.18832827342122</v>
      </c>
      <c r="H242" s="96">
        <f t="shared" si="199"/>
        <v>-15.484944750383708</v>
      </c>
      <c r="I242" s="96">
        <f t="shared" si="199"/>
        <v>-14.946662966398554</v>
      </c>
      <c r="J242" s="96">
        <f t="shared" si="199"/>
        <v>-14.731140587584166</v>
      </c>
      <c r="K242" s="96">
        <f t="shared" si="199"/>
        <v>-12.825059417289491</v>
      </c>
      <c r="L242" s="96">
        <f t="shared" si="199"/>
        <v>-8.421305410400457</v>
      </c>
      <c r="M242" s="96">
        <f t="shared" si="199"/>
        <v>-1.5300240672111962</v>
      </c>
      <c r="N242" s="96">
        <f t="shared" si="199"/>
        <v>7.325327460089708</v>
      </c>
      <c r="O242" s="96">
        <f t="shared" si="199"/>
        <v>17.367572161741577</v>
      </c>
      <c r="P242" s="96">
        <f t="shared" si="199"/>
        <v>27.766121430028186</v>
      </c>
      <c r="Q242" s="96">
        <f t="shared" si="199"/>
        <v>37.730779712826084</v>
      </c>
      <c r="R242" s="96">
        <f t="shared" si="199"/>
        <v>46.499503219032036</v>
      </c>
      <c r="S242" s="96">
        <f t="shared" si="199"/>
        <v>53.32243800989346</v>
      </c>
      <c r="T242" s="96">
        <f t="shared" si="199"/>
        <v>57.501172569000765</v>
      </c>
      <c r="U242" s="96">
        <f t="shared" si="199"/>
        <v>58.425597270149524</v>
      </c>
      <c r="V242" s="96">
        <f t="shared" si="199"/>
        <v>55.599028551062844</v>
      </c>
      <c r="W242" s="96">
        <f t="shared" si="199"/>
        <v>48.79365582083614</v>
      </c>
      <c r="X242" s="96">
        <f t="shared" si="199"/>
        <v>38.3618956128001</v>
      </c>
      <c r="Y242" s="96">
        <f t="shared" si="199"/>
        <v>24.285674202925133</v>
      </c>
      <c r="Z242" s="96">
        <f t="shared" si="199"/>
        <v>-2.092015246888391</v>
      </c>
      <c r="AA242" s="8"/>
    </row>
    <row r="243" spans="1:27" s="216" customFormat="1" ht="31.5">
      <c r="A243" s="83" t="s">
        <v>212</v>
      </c>
      <c r="B243" s="227">
        <f>B238-B242</f>
        <v>-4.263256414560601E-14</v>
      </c>
      <c r="C243" s="227">
        <f aca="true" t="shared" si="200" ref="C243:Z243">C238-C242</f>
        <v>1.7053025658242404E-13</v>
      </c>
      <c r="D243" s="227">
        <f t="shared" si="200"/>
        <v>7.958078640513122E-13</v>
      </c>
      <c r="E243" s="227">
        <f t="shared" si="200"/>
        <v>0</v>
      </c>
      <c r="F243" s="227">
        <f t="shared" si="200"/>
        <v>0</v>
      </c>
      <c r="G243" s="227">
        <f t="shared" si="200"/>
        <v>0</v>
      </c>
      <c r="H243" s="227">
        <f t="shared" si="200"/>
        <v>0</v>
      </c>
      <c r="I243" s="227">
        <f t="shared" si="200"/>
        <v>0</v>
      </c>
      <c r="J243" s="227">
        <f t="shared" si="200"/>
        <v>-2.6645352591003757E-14</v>
      </c>
      <c r="K243" s="227">
        <f t="shared" si="200"/>
        <v>-1.0302869668521453E-13</v>
      </c>
      <c r="L243" s="227">
        <f t="shared" si="200"/>
        <v>1.1297629498585593E-12</v>
      </c>
      <c r="M243" s="227">
        <f t="shared" si="200"/>
        <v>-3.3306690738754696E-14</v>
      </c>
      <c r="N243" s="227">
        <f t="shared" si="200"/>
        <v>-8.348877145181177E-14</v>
      </c>
      <c r="O243" s="227">
        <f t="shared" si="200"/>
        <v>3.410605131648481E-13</v>
      </c>
      <c r="P243" s="227">
        <f t="shared" si="200"/>
        <v>0</v>
      </c>
      <c r="Q243" s="227">
        <f t="shared" si="200"/>
        <v>0</v>
      </c>
      <c r="R243" s="227">
        <f t="shared" si="200"/>
        <v>0</v>
      </c>
      <c r="S243" s="227">
        <f t="shared" si="200"/>
        <v>0</v>
      </c>
      <c r="T243" s="227">
        <f t="shared" si="200"/>
        <v>0</v>
      </c>
      <c r="U243" s="227">
        <f t="shared" si="200"/>
        <v>0</v>
      </c>
      <c r="V243" s="227">
        <f t="shared" si="200"/>
        <v>0</v>
      </c>
      <c r="W243" s="227">
        <f t="shared" si="200"/>
        <v>0</v>
      </c>
      <c r="X243" s="227">
        <f t="shared" si="200"/>
        <v>0</v>
      </c>
      <c r="Y243" s="227">
        <f t="shared" si="200"/>
        <v>0</v>
      </c>
      <c r="Z243" s="227">
        <f t="shared" si="200"/>
        <v>2.531308496145357E-14</v>
      </c>
      <c r="AA243" s="6"/>
    </row>
    <row r="244" spans="1:27" s="216" customFormat="1" ht="15.75">
      <c r="A244" s="7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6"/>
    </row>
    <row r="245" spans="1:27" s="216" customFormat="1" ht="15.75">
      <c r="A245" s="244" t="s">
        <v>213</v>
      </c>
      <c r="B245" s="228"/>
      <c r="C245" s="228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6"/>
    </row>
    <row r="246" spans="1:27" s="216" customFormat="1" ht="15">
      <c r="A246" s="49" t="str">
        <f>A197</f>
        <v>Wteh</v>
      </c>
      <c r="B246" s="229">
        <f>B197</f>
        <v>0</v>
      </c>
      <c r="C246" s="229">
        <f>C197</f>
        <v>2.4263856030241344</v>
      </c>
      <c r="D246" s="229">
        <f aca="true" t="shared" si="201" ref="D246:Z246">D197</f>
        <v>4.651330466976669</v>
      </c>
      <c r="E246" s="229">
        <f t="shared" si="201"/>
        <v>2.0610969122771508</v>
      </c>
      <c r="F246" s="229">
        <f t="shared" si="201"/>
        <v>-0.1837053144934513</v>
      </c>
      <c r="G246" s="229">
        <f t="shared" si="201"/>
        <v>-1.0527247410912446</v>
      </c>
      <c r="H246" s="229">
        <f t="shared" si="201"/>
        <v>-1.1447209750105847</v>
      </c>
      <c r="I246" s="229">
        <f t="shared" si="201"/>
        <v>-0.8385939045487073</v>
      </c>
      <c r="J246" s="229">
        <f t="shared" si="201"/>
        <v>-0.4170239401400483</v>
      </c>
      <c r="K246" s="229">
        <f t="shared" si="201"/>
        <v>-0.12635464132744034</v>
      </c>
      <c r="L246" s="229">
        <f t="shared" si="201"/>
        <v>-0.12697891957214535</v>
      </c>
      <c r="M246" s="229">
        <f t="shared" si="201"/>
        <v>-0.45809532498610395</v>
      </c>
      <c r="N246" s="229">
        <f t="shared" si="201"/>
        <v>-1.0684312122331068</v>
      </c>
      <c r="O246" s="229">
        <f t="shared" si="201"/>
        <v>-1.9061102502888863</v>
      </c>
      <c r="P246" s="229">
        <f t="shared" si="201"/>
        <v>-3.0249319009806044</v>
      </c>
      <c r="Q246" s="229">
        <f t="shared" si="201"/>
        <v>-4.643406371902134</v>
      </c>
      <c r="R246" s="229">
        <f t="shared" si="201"/>
        <v>-7.1053007618572686</v>
      </c>
      <c r="S246" s="229">
        <f t="shared" si="201"/>
        <v>-10.745336037606615</v>
      </c>
      <c r="T246" s="229">
        <f t="shared" si="201"/>
        <v>-15.692556010817857</v>
      </c>
      <c r="U246" s="229">
        <f t="shared" si="201"/>
        <v>-21.627448052327424</v>
      </c>
      <c r="V246" s="229">
        <f t="shared" si="201"/>
        <v>-27.512240202993148</v>
      </c>
      <c r="W246" s="229">
        <f t="shared" si="201"/>
        <v>-31.254175159778114</v>
      </c>
      <c r="X246" s="229">
        <f t="shared" si="201"/>
        <v>-28.95454824414441</v>
      </c>
      <c r="Y246" s="229">
        <f t="shared" si="201"/>
        <v>-13.472635355813415</v>
      </c>
      <c r="Z246" s="229">
        <f t="shared" si="201"/>
        <v>21.89017429583579</v>
      </c>
      <c r="AA246" s="6"/>
    </row>
    <row r="247" spans="1:27" s="216" customFormat="1" ht="15">
      <c r="A247" s="49" t="str">
        <f>A203</f>
        <v>(W)D5=</v>
      </c>
      <c r="B247" s="229">
        <f>B203</f>
        <v>4.362106121232302</v>
      </c>
      <c r="C247" s="229">
        <f>C203</f>
        <v>-10.546719478619808</v>
      </c>
      <c r="D247" s="229">
        <f aca="true" t="shared" si="202" ref="D247:Z247">D203</f>
        <v>-19.923825216342838</v>
      </c>
      <c r="E247" s="229">
        <f t="shared" si="202"/>
        <v>-2.77832494304596</v>
      </c>
      <c r="F247" s="229">
        <f t="shared" si="202"/>
        <v>3.324171716479552</v>
      </c>
      <c r="G247" s="229">
        <f t="shared" si="202"/>
        <v>3.808128338385398</v>
      </c>
      <c r="H247" s="229">
        <f t="shared" si="202"/>
        <v>3.2804133968646774</v>
      </c>
      <c r="I247" s="229">
        <f t="shared" si="202"/>
        <v>2.732922071382127</v>
      </c>
      <c r="J247" s="229">
        <f t="shared" si="202"/>
        <v>2.396828859851514</v>
      </c>
      <c r="K247" s="229">
        <f t="shared" si="202"/>
        <v>2.2747130695936324</v>
      </c>
      <c r="L247" s="229">
        <f t="shared" si="202"/>
        <v>2.2699550382774363</v>
      </c>
      <c r="M247" s="229">
        <f t="shared" si="202"/>
        <v>2.2621819216704107</v>
      </c>
      <c r="N247" s="229">
        <f t="shared" si="202"/>
        <v>2.1601767093619757</v>
      </c>
      <c r="O247" s="229">
        <f t="shared" si="202"/>
        <v>1.9114690825508696</v>
      </c>
      <c r="P247" s="229">
        <f t="shared" si="202"/>
        <v>1.4641657398135282</v>
      </c>
      <c r="Q247" s="229">
        <f t="shared" si="202"/>
        <v>0.715813049741922</v>
      </c>
      <c r="R247" s="229">
        <f t="shared" si="202"/>
        <v>-0.4972950540157419</v>
      </c>
      <c r="S247" s="229">
        <f t="shared" si="202"/>
        <v>-2.346411712308064</v>
      </c>
      <c r="T247" s="229">
        <f t="shared" si="202"/>
        <v>-4.916901742977364</v>
      </c>
      <c r="U247" s="229">
        <f t="shared" si="202"/>
        <v>-8.11972530965839</v>
      </c>
      <c r="V247" s="229">
        <f t="shared" si="202"/>
        <v>-11.616236747159887</v>
      </c>
      <c r="W247" s="229">
        <f t="shared" si="202"/>
        <v>-14.608333772232548</v>
      </c>
      <c r="X247" s="229">
        <f t="shared" si="202"/>
        <v>-14.874163961894103</v>
      </c>
      <c r="Y247" s="229">
        <f t="shared" si="202"/>
        <v>-5.164473226661615</v>
      </c>
      <c r="Z247" s="229">
        <f t="shared" si="202"/>
        <v>26.536095856717438</v>
      </c>
      <c r="AA247" s="6"/>
    </row>
    <row r="248" spans="1:27" s="216" customFormat="1" ht="15">
      <c r="A248" s="49" t="str">
        <f>A210</f>
        <v>(W)B4=</v>
      </c>
      <c r="B248" s="229">
        <f>B210</f>
        <v>-0.6233808031189554</v>
      </c>
      <c r="C248" s="229">
        <f>C210</f>
        <v>-25.426761099267928</v>
      </c>
      <c r="D248" s="229">
        <f>D210</f>
        <v>-35.59959538347866</v>
      </c>
      <c r="E248" s="229">
        <f aca="true" t="shared" si="203" ref="E248:Z248">E210</f>
        <v>-6.033578742283002</v>
      </c>
      <c r="F248" s="229">
        <f t="shared" si="203"/>
        <v>5.812496359232044</v>
      </c>
      <c r="G248" s="229">
        <f t="shared" si="203"/>
        <v>7.30869719151531</v>
      </c>
      <c r="H248" s="229">
        <f t="shared" si="203"/>
        <v>6.1980634058329045</v>
      </c>
      <c r="I248" s="229">
        <f t="shared" si="203"/>
        <v>4.535078774476389</v>
      </c>
      <c r="J248" s="229">
        <f t="shared" si="203"/>
        <v>3.020525936062419</v>
      </c>
      <c r="K248" s="229">
        <f t="shared" si="203"/>
        <v>1.9368835311323798</v>
      </c>
      <c r="L248" s="229">
        <f t="shared" si="203"/>
        <v>1.332710266185083</v>
      </c>
      <c r="M248" s="229">
        <f t="shared" si="203"/>
        <v>1.1087979343509011</v>
      </c>
      <c r="N248" s="229">
        <f t="shared" si="203"/>
        <v>1.113475539836383</v>
      </c>
      <c r="O248" s="229">
        <f t="shared" si="203"/>
        <v>1.223956471353203</v>
      </c>
      <c r="P248" s="229">
        <f t="shared" si="203"/>
        <v>1.379610751970933</v>
      </c>
      <c r="Q248" s="229">
        <f t="shared" si="203"/>
        <v>1.5611446820445347</v>
      </c>
      <c r="R248" s="229">
        <f t="shared" si="203"/>
        <v>1.7410444105809755</v>
      </c>
      <c r="S248" s="229">
        <f t="shared" si="203"/>
        <v>1.846731151570646</v>
      </c>
      <c r="T248" s="229">
        <f t="shared" si="203"/>
        <v>1.7501303320985988</v>
      </c>
      <c r="U248" s="229">
        <f t="shared" si="203"/>
        <v>1.2481331895100904</v>
      </c>
      <c r="V248" s="229">
        <f t="shared" si="203"/>
        <v>0.021107115293451106</v>
      </c>
      <c r="W248" s="229">
        <f t="shared" si="203"/>
        <v>-2.266929683617894</v>
      </c>
      <c r="X248" s="229">
        <f t="shared" si="203"/>
        <v>-4.9831247997750685</v>
      </c>
      <c r="Y248" s="229">
        <f t="shared" si="203"/>
        <v>-1.857740166417507</v>
      </c>
      <c r="Z248" s="229">
        <f t="shared" si="203"/>
        <v>21.63417159819484</v>
      </c>
      <c r="AA248" s="6"/>
    </row>
    <row r="249" spans="1:27" s="216" customFormat="1" ht="15">
      <c r="A249" s="49" t="str">
        <f>A224</f>
        <v>(W)O1=</v>
      </c>
      <c r="B249" s="229">
        <f>B224</f>
        <v>-55.42011393678786</v>
      </c>
      <c r="C249" s="229">
        <f>C224</f>
        <v>-56.52081566834132</v>
      </c>
      <c r="D249" s="229">
        <f>D224</f>
        <v>-31.09469761621884</v>
      </c>
      <c r="E249" s="229">
        <f aca="true" t="shared" si="204" ref="E249:Z249">E224</f>
        <v>-17.214546090211943</v>
      </c>
      <c r="F249" s="229">
        <f t="shared" si="204"/>
        <v>-6.425189254072754</v>
      </c>
      <c r="G249" s="229">
        <f t="shared" si="204"/>
        <v>0.3298679227093663</v>
      </c>
      <c r="H249" s="229">
        <f t="shared" si="204"/>
        <v>4.118604876768996</v>
      </c>
      <c r="I249" s="229">
        <f t="shared" si="204"/>
        <v>6.3893465013051705</v>
      </c>
      <c r="J249" s="229">
        <f t="shared" si="204"/>
        <v>7.772593411481842</v>
      </c>
      <c r="K249" s="229">
        <f t="shared" si="204"/>
        <v>8.526736755122947</v>
      </c>
      <c r="L249" s="229">
        <f t="shared" si="204"/>
        <v>8.810106451472569</v>
      </c>
      <c r="M249" s="229">
        <f t="shared" si="204"/>
        <v>8.780383665691309</v>
      </c>
      <c r="N249" s="229">
        <f t="shared" si="204"/>
        <v>8.611381052105884</v>
      </c>
      <c r="O249" s="229">
        <f t="shared" si="204"/>
        <v>8.465310025398106</v>
      </c>
      <c r="P249" s="229">
        <f t="shared" si="204"/>
        <v>8.43992885104058</v>
      </c>
      <c r="Q249" s="229">
        <f t="shared" si="204"/>
        <v>8.520814237264831</v>
      </c>
      <c r="R249" s="229">
        <f t="shared" si="204"/>
        <v>8.576789023807741</v>
      </c>
      <c r="S249" s="229">
        <f t="shared" si="204"/>
        <v>8.3975070331264</v>
      </c>
      <c r="T249" s="229">
        <f t="shared" si="204"/>
        <v>7.725809806936533</v>
      </c>
      <c r="U249" s="229">
        <f t="shared" si="204"/>
        <v>6.250343979630548</v>
      </c>
      <c r="V249" s="229">
        <f t="shared" si="204"/>
        <v>3.543966892885346</v>
      </c>
      <c r="W249" s="229">
        <f t="shared" si="204"/>
        <v>-1.1325750476669971</v>
      </c>
      <c r="X249" s="229">
        <f t="shared" si="204"/>
        <v>-9.610577899153048</v>
      </c>
      <c r="Y249" s="229">
        <f t="shared" si="204"/>
        <v>-27.16488676812317</v>
      </c>
      <c r="Z249" s="229">
        <f t="shared" si="204"/>
        <v>-56.4084078741549</v>
      </c>
      <c r="AA249" s="6"/>
    </row>
    <row r="250" spans="1:27" s="216" customFormat="1" ht="15">
      <c r="A250" s="49" t="str">
        <f>A232</f>
        <v>(W)A=</v>
      </c>
      <c r="B250" s="229">
        <f>B232</f>
        <v>-37.061790564622726</v>
      </c>
      <c r="C250" s="229">
        <f>C232</f>
        <v>-115.42459322020432</v>
      </c>
      <c r="D250" s="229">
        <f>D232</f>
        <v>-116.58915225353121</v>
      </c>
      <c r="E250" s="229">
        <f aca="true" t="shared" si="205" ref="E250:Z250">E232</f>
        <v>-41.07387225250901</v>
      </c>
      <c r="F250" s="229">
        <f t="shared" si="205"/>
        <v>-1.8073037763111</v>
      </c>
      <c r="G250" s="229">
        <f t="shared" si="205"/>
        <v>11.13986641945549</v>
      </c>
      <c r="H250" s="229">
        <f t="shared" si="205"/>
        <v>14.81190008841306</v>
      </c>
      <c r="I250" s="229">
        <f t="shared" si="205"/>
        <v>14.892220130800247</v>
      </c>
      <c r="J250" s="229">
        <f t="shared" si="205"/>
        <v>13.51890201703786</v>
      </c>
      <c r="K250" s="229">
        <f t="shared" si="205"/>
        <v>11.722092764554958</v>
      </c>
      <c r="L250" s="229">
        <f t="shared" si="205"/>
        <v>10.037301676493371</v>
      </c>
      <c r="M250" s="229">
        <f t="shared" si="205"/>
        <v>8.701957046213863</v>
      </c>
      <c r="N250" s="229">
        <f t="shared" si="205"/>
        <v>7.785903816660721</v>
      </c>
      <c r="O250" s="229">
        <f t="shared" si="205"/>
        <v>7.295256522890668</v>
      </c>
      <c r="P250" s="229">
        <f t="shared" si="205"/>
        <v>7.226424286633716</v>
      </c>
      <c r="Q250" s="229">
        <f t="shared" si="205"/>
        <v>7.565648709060177</v>
      </c>
      <c r="R250" s="229">
        <f t="shared" si="205"/>
        <v>8.258172350890831</v>
      </c>
      <c r="S250" s="229">
        <f t="shared" si="205"/>
        <v>9.18074734055742</v>
      </c>
      <c r="T250" s="229">
        <f t="shared" si="205"/>
        <v>10.125960479695284</v>
      </c>
      <c r="U250" s="229">
        <f t="shared" si="205"/>
        <v>10.776764555011756</v>
      </c>
      <c r="V250" s="229">
        <f t="shared" si="205"/>
        <v>10.685748323662718</v>
      </c>
      <c r="W250" s="229">
        <f t="shared" si="205"/>
        <v>9.397075765024491</v>
      </c>
      <c r="X250" s="229">
        <f t="shared" si="205"/>
        <v>6.790301527491984</v>
      </c>
      <c r="Y250" s="229">
        <f t="shared" si="205"/>
        <v>2.2903339880005404</v>
      </c>
      <c r="Z250" s="229">
        <f t="shared" si="205"/>
        <v>-13.46726429195536</v>
      </c>
      <c r="AA250" s="6"/>
    </row>
    <row r="251" spans="1:27" s="216" customFormat="1" ht="15">
      <c r="A251" s="49" t="str">
        <f>A239</f>
        <v>(W)O=</v>
      </c>
      <c r="B251" s="229">
        <f>B239</f>
        <v>-27.251790564622695</v>
      </c>
      <c r="C251" s="229">
        <f>C239</f>
        <v>-117.74002762800865</v>
      </c>
      <c r="D251" s="229">
        <f>D239</f>
        <v>-134.3452871527321</v>
      </c>
      <c r="E251" s="229">
        <f aca="true" t="shared" si="206" ref="E251:Z251">E239</f>
        <v>-66.39049787221441</v>
      </c>
      <c r="F251" s="229">
        <f t="shared" si="206"/>
        <v>-26.476527211190657</v>
      </c>
      <c r="G251" s="229">
        <f t="shared" si="206"/>
        <v>-12.967801136910701</v>
      </c>
      <c r="H251" s="229">
        <f t="shared" si="206"/>
        <v>-9.186821825339333</v>
      </c>
      <c r="I251" s="229">
        <f t="shared" si="206"/>
        <v>-8.423622888300882</v>
      </c>
      <c r="J251" s="229">
        <f t="shared" si="206"/>
        <v>-7.9489443678971305</v>
      </c>
      <c r="K251" s="229">
        <f t="shared" si="206"/>
        <v>-6.610408683486687</v>
      </c>
      <c r="L251" s="229">
        <f t="shared" si="206"/>
        <v>-4.130549528164648</v>
      </c>
      <c r="M251" s="229">
        <f t="shared" si="206"/>
        <v>-0.7155463448221552</v>
      </c>
      <c r="N251" s="229">
        <f t="shared" si="206"/>
        <v>3.310725504361502</v>
      </c>
      <c r="O251" s="229">
        <f t="shared" si="206"/>
        <v>7.798069568947924</v>
      </c>
      <c r="P251" s="229">
        <f t="shared" si="206"/>
        <v>12.862349449223558</v>
      </c>
      <c r="Q251" s="229">
        <f t="shared" si="206"/>
        <v>18.712827916691943</v>
      </c>
      <c r="R251" s="229">
        <f t="shared" si="206"/>
        <v>25.33351907831715</v>
      </c>
      <c r="S251" s="229">
        <f t="shared" si="206"/>
        <v>32.273337059225156</v>
      </c>
      <c r="T251" s="229">
        <f t="shared" si="206"/>
        <v>38.657636187053406</v>
      </c>
      <c r="U251" s="229">
        <f t="shared" si="206"/>
        <v>43.32303469126917</v>
      </c>
      <c r="V251" s="229">
        <f t="shared" si="206"/>
        <v>44.98960384622967</v>
      </c>
      <c r="W251" s="229">
        <f t="shared" si="206"/>
        <v>42.55729510899534</v>
      </c>
      <c r="X251" s="229">
        <f t="shared" si="206"/>
        <v>35.592874467248016</v>
      </c>
      <c r="Y251" s="229">
        <f t="shared" si="206"/>
        <v>23.64724228594653</v>
      </c>
      <c r="Z251" s="229">
        <f t="shared" si="206"/>
        <v>-2.108944821611753</v>
      </c>
      <c r="AA251" s="6"/>
    </row>
    <row r="252" spans="1:27" s="216" customFormat="1" ht="15">
      <c r="A252" s="49" t="s">
        <v>215</v>
      </c>
      <c r="B252" s="229">
        <f>B53</f>
        <v>9.81</v>
      </c>
      <c r="C252" s="229">
        <f>C53</f>
        <v>-2.315434407804517</v>
      </c>
      <c r="D252" s="229">
        <f>D53</f>
        <v>-17.756134899201555</v>
      </c>
      <c r="E252" s="229">
        <f aca="true" t="shared" si="207" ref="E252:Z252">E53</f>
        <v>-25.316625619705405</v>
      </c>
      <c r="F252" s="229">
        <f t="shared" si="207"/>
        <v>-24.669223434879555</v>
      </c>
      <c r="G252" s="229">
        <f t="shared" si="207"/>
        <v>-24.107667556366188</v>
      </c>
      <c r="H252" s="229">
        <f t="shared" si="207"/>
        <v>-23.998721913752398</v>
      </c>
      <c r="I252" s="229">
        <f t="shared" si="207"/>
        <v>-23.31584301910113</v>
      </c>
      <c r="J252" s="229">
        <f t="shared" si="207"/>
        <v>-21.467846384934983</v>
      </c>
      <c r="K252" s="229">
        <f t="shared" si="207"/>
        <v>-18.3325014480416</v>
      </c>
      <c r="L252" s="229">
        <f t="shared" si="207"/>
        <v>-14.167851204657444</v>
      </c>
      <c r="M252" s="229">
        <f t="shared" si="207"/>
        <v>-9.417503391036048</v>
      </c>
      <c r="N252" s="229">
        <f t="shared" si="207"/>
        <v>-4.475178312299154</v>
      </c>
      <c r="O252" s="229">
        <f t="shared" si="207"/>
        <v>0.5028130460571032</v>
      </c>
      <c r="P252" s="229">
        <f t="shared" si="207"/>
        <v>5.63592516258983</v>
      </c>
      <c r="Q252" s="229">
        <f t="shared" si="207"/>
        <v>11.147179207631776</v>
      </c>
      <c r="R252" s="229">
        <f t="shared" si="207"/>
        <v>17.07534672742632</v>
      </c>
      <c r="S252" s="229">
        <f t="shared" si="207"/>
        <v>23.092589718667735</v>
      </c>
      <c r="T252" s="229">
        <f t="shared" si="207"/>
        <v>28.53167570735812</v>
      </c>
      <c r="U252" s="229">
        <f t="shared" si="207"/>
        <v>32.54627013625741</v>
      </c>
      <c r="V252" s="229">
        <f t="shared" si="207"/>
        <v>34.30385552256695</v>
      </c>
      <c r="W252" s="229">
        <f t="shared" si="207"/>
        <v>33.160219343970844</v>
      </c>
      <c r="X252" s="229">
        <f t="shared" si="207"/>
        <v>28.802572939756036</v>
      </c>
      <c r="Y252" s="229">
        <f t="shared" si="207"/>
        <v>21.35690829794598</v>
      </c>
      <c r="Z252" s="229">
        <f t="shared" si="207"/>
        <v>11.35831947034363</v>
      </c>
      <c r="AA252" s="6"/>
    </row>
    <row r="253" spans="1:27" s="216" customFormat="1" ht="15">
      <c r="A253" s="49" t="s">
        <v>214</v>
      </c>
      <c r="B253" s="229">
        <f>B96</f>
        <v>18.981704175284165</v>
      </c>
      <c r="C253" s="229">
        <f>C96</f>
        <v>-33.477016452595066</v>
      </c>
      <c r="D253" s="229">
        <f>D96</f>
        <v>-49.894859253833815</v>
      </c>
      <c r="E253" s="229">
        <f aca="true" t="shared" si="208" ref="E253:Z253">E96</f>
        <v>-17.825747420014068</v>
      </c>
      <c r="F253" s="229">
        <f t="shared" si="208"/>
        <v>-1.1946108814703909</v>
      </c>
      <c r="G253" s="229">
        <f t="shared" si="208"/>
        <v>3.5013013052308137</v>
      </c>
      <c r="H253" s="229">
        <f t="shared" si="208"/>
        <v>4.495231805811158</v>
      </c>
      <c r="I253" s="229">
        <f t="shared" si="208"/>
        <v>3.9677948550186857</v>
      </c>
      <c r="J253" s="229">
        <f t="shared" si="208"/>
        <v>2.725782669493603</v>
      </c>
      <c r="K253" s="229">
        <f t="shared" si="208"/>
        <v>1.2584724782996421</v>
      </c>
      <c r="L253" s="229">
        <f t="shared" si="208"/>
        <v>-0.10551504116540919</v>
      </c>
      <c r="M253" s="229">
        <f t="shared" si="208"/>
        <v>-1.1872245538283004</v>
      </c>
      <c r="N253" s="229">
        <f t="shared" si="208"/>
        <v>-1.9389527752815705</v>
      </c>
      <c r="O253" s="229">
        <f t="shared" si="208"/>
        <v>-2.3940099738606415</v>
      </c>
      <c r="P253" s="229">
        <f t="shared" si="208"/>
        <v>-2.593115316377787</v>
      </c>
      <c r="Q253" s="229">
        <f t="shared" si="208"/>
        <v>-2.5163102102491965</v>
      </c>
      <c r="R253" s="229">
        <f t="shared" si="208"/>
        <v>-2.059661083497888</v>
      </c>
      <c r="S253" s="229">
        <f t="shared" si="208"/>
        <v>-1.063490844139624</v>
      </c>
      <c r="T253" s="229">
        <f t="shared" si="208"/>
        <v>0.6500203406601534</v>
      </c>
      <c r="U253" s="229">
        <f t="shared" si="208"/>
        <v>3.2782873858711166</v>
      </c>
      <c r="V253" s="229">
        <f t="shared" si="208"/>
        <v>7.1206743154839245</v>
      </c>
      <c r="W253" s="229">
        <f t="shared" si="208"/>
        <v>12.79658049630938</v>
      </c>
      <c r="X253" s="229">
        <f t="shared" si="208"/>
        <v>21.3840042264201</v>
      </c>
      <c r="Y253" s="229">
        <f t="shared" si="208"/>
        <v>31.312960922541215</v>
      </c>
      <c r="Z253" s="229">
        <f t="shared" si="208"/>
        <v>21.306971984004658</v>
      </c>
      <c r="AA253" s="6"/>
    </row>
    <row r="254" spans="1:27" s="216" customFormat="1" ht="15">
      <c r="A254" s="49" t="s">
        <v>216</v>
      </c>
      <c r="B254" s="229">
        <f>B145</f>
        <v>-55.420113936787864</v>
      </c>
      <c r="C254" s="229">
        <f>C145</f>
        <v>-56.520815668341314</v>
      </c>
      <c r="D254" s="229">
        <f>D145</f>
        <v>-31.094697616218845</v>
      </c>
      <c r="E254" s="229">
        <f aca="true" t="shared" si="209" ref="E254:Z254">E145</f>
        <v>-17.214546090211943</v>
      </c>
      <c r="F254" s="229">
        <f t="shared" si="209"/>
        <v>-6.425189254072754</v>
      </c>
      <c r="G254" s="229">
        <f t="shared" si="209"/>
        <v>0.3298679227093663</v>
      </c>
      <c r="H254" s="229">
        <f t="shared" si="209"/>
        <v>4.118604876768996</v>
      </c>
      <c r="I254" s="229">
        <f t="shared" si="209"/>
        <v>6.389346501305171</v>
      </c>
      <c r="J254" s="229">
        <f t="shared" si="209"/>
        <v>7.772593411481843</v>
      </c>
      <c r="K254" s="229">
        <f t="shared" si="209"/>
        <v>8.526736755122945</v>
      </c>
      <c r="L254" s="229">
        <f t="shared" si="209"/>
        <v>8.810106451472569</v>
      </c>
      <c r="M254" s="229">
        <f t="shared" si="209"/>
        <v>8.780383665691309</v>
      </c>
      <c r="N254" s="229">
        <f t="shared" si="209"/>
        <v>8.611381052105882</v>
      </c>
      <c r="O254" s="229">
        <f t="shared" si="209"/>
        <v>8.465310025398106</v>
      </c>
      <c r="P254" s="229">
        <f t="shared" si="209"/>
        <v>8.43992885104058</v>
      </c>
      <c r="Q254" s="229">
        <f t="shared" si="209"/>
        <v>8.520814237264831</v>
      </c>
      <c r="R254" s="229">
        <f t="shared" si="209"/>
        <v>8.576789023807741</v>
      </c>
      <c r="S254" s="229">
        <f t="shared" si="209"/>
        <v>8.397507033126402</v>
      </c>
      <c r="T254" s="229">
        <f t="shared" si="209"/>
        <v>7.7258098069365335</v>
      </c>
      <c r="U254" s="229">
        <f t="shared" si="209"/>
        <v>6.250343979630547</v>
      </c>
      <c r="V254" s="229">
        <f t="shared" si="209"/>
        <v>3.543966892885346</v>
      </c>
      <c r="W254" s="229">
        <f t="shared" si="209"/>
        <v>-1.1325750476669973</v>
      </c>
      <c r="X254" s="229">
        <f t="shared" si="209"/>
        <v>-9.610577899153045</v>
      </c>
      <c r="Y254" s="229">
        <f t="shared" si="209"/>
        <v>-27.164886768123168</v>
      </c>
      <c r="Z254" s="229">
        <f t="shared" si="209"/>
        <v>-56.40840787415491</v>
      </c>
      <c r="AA254" s="6"/>
    </row>
    <row r="255" spans="1:27" s="216" customFormat="1" ht="15">
      <c r="A255" s="49" t="s">
        <v>217</v>
      </c>
      <c r="B255" s="229">
        <f>B154</f>
        <v>-4.98548692435126</v>
      </c>
      <c r="C255" s="229">
        <f>C154</f>
        <v>-14.880041620648113</v>
      </c>
      <c r="D255" s="229">
        <f>D154</f>
        <v>-15.675770167135822</v>
      </c>
      <c r="E255" s="229">
        <f aca="true" t="shared" si="210" ref="E255:Z255">E154</f>
        <v>-3.255253799237042</v>
      </c>
      <c r="F255" s="229">
        <f t="shared" si="210"/>
        <v>2.4883246427524925</v>
      </c>
      <c r="G255" s="229">
        <f t="shared" si="210"/>
        <v>3.5005688531299115</v>
      </c>
      <c r="H255" s="229">
        <f t="shared" si="210"/>
        <v>2.917650008968227</v>
      </c>
      <c r="I255" s="229">
        <f t="shared" si="210"/>
        <v>1.8021567030942616</v>
      </c>
      <c r="J255" s="229">
        <f t="shared" si="210"/>
        <v>0.6236970762109044</v>
      </c>
      <c r="K255" s="229">
        <f t="shared" si="210"/>
        <v>-0.33782953846125213</v>
      </c>
      <c r="L255" s="229">
        <f t="shared" si="210"/>
        <v>-0.9372447720923538</v>
      </c>
      <c r="M255" s="229">
        <f t="shared" si="210"/>
        <v>-1.15338398731951</v>
      </c>
      <c r="N255" s="229">
        <f t="shared" si="210"/>
        <v>-1.0467011695255934</v>
      </c>
      <c r="O255" s="229">
        <f t="shared" si="210"/>
        <v>-0.6875126111976662</v>
      </c>
      <c r="P255" s="229">
        <f t="shared" si="210"/>
        <v>-0.08455498784259546</v>
      </c>
      <c r="Q255" s="229">
        <f t="shared" si="210"/>
        <v>0.8453316323026124</v>
      </c>
      <c r="R255" s="229">
        <f t="shared" si="210"/>
        <v>2.238339464596717</v>
      </c>
      <c r="S255" s="229">
        <f t="shared" si="210"/>
        <v>4.193142863878711</v>
      </c>
      <c r="T255" s="229">
        <f t="shared" si="210"/>
        <v>6.667032075075962</v>
      </c>
      <c r="U255" s="229">
        <f t="shared" si="210"/>
        <v>9.367858499168479</v>
      </c>
      <c r="V255" s="229">
        <f t="shared" si="210"/>
        <v>11.637343862453339</v>
      </c>
      <c r="W255" s="229">
        <f t="shared" si="210"/>
        <v>12.341404088614656</v>
      </c>
      <c r="X255" s="229">
        <f t="shared" si="210"/>
        <v>9.891039162119034</v>
      </c>
      <c r="Y255" s="229">
        <f t="shared" si="210"/>
        <v>3.306733060244105</v>
      </c>
      <c r="Z255" s="229">
        <f t="shared" si="210"/>
        <v>-4.9019242585225955</v>
      </c>
      <c r="AA255" s="6"/>
    </row>
    <row r="256" spans="1:27" s="216" customFormat="1" ht="15">
      <c r="A256" s="49" t="s">
        <v>218</v>
      </c>
      <c r="B256" s="229">
        <f>B177</f>
        <v>4.362106121232303</v>
      </c>
      <c r="C256" s="229">
        <f>C177</f>
        <v>-12.973105081643943</v>
      </c>
      <c r="D256" s="229">
        <f>D177</f>
        <v>-24.575155683319505</v>
      </c>
      <c r="E256" s="229">
        <f aca="true" t="shared" si="211" ref="E256:Z256">E177</f>
        <v>-4.83942185532311</v>
      </c>
      <c r="F256" s="229">
        <f t="shared" si="211"/>
        <v>3.507877030973003</v>
      </c>
      <c r="G256" s="229">
        <f t="shared" si="211"/>
        <v>4.860853079476643</v>
      </c>
      <c r="H256" s="229">
        <f t="shared" si="211"/>
        <v>4.425134371875262</v>
      </c>
      <c r="I256" s="229">
        <f t="shared" si="211"/>
        <v>3.5715159759308346</v>
      </c>
      <c r="J256" s="229">
        <f t="shared" si="211"/>
        <v>2.813852799991563</v>
      </c>
      <c r="K256" s="229">
        <f t="shared" si="211"/>
        <v>2.4010677109210725</v>
      </c>
      <c r="L256" s="229">
        <f t="shared" si="211"/>
        <v>2.3969339578495816</v>
      </c>
      <c r="M256" s="229">
        <f t="shared" si="211"/>
        <v>2.7202772466565146</v>
      </c>
      <c r="N256" s="229">
        <f t="shared" si="211"/>
        <v>3.2286079215950823</v>
      </c>
      <c r="O256" s="229">
        <f t="shared" si="211"/>
        <v>3.8175793328397556</v>
      </c>
      <c r="P256" s="229">
        <f t="shared" si="211"/>
        <v>4.4890976407941325</v>
      </c>
      <c r="Q256" s="229">
        <f t="shared" si="211"/>
        <v>5.359219421644054</v>
      </c>
      <c r="R256" s="229">
        <f t="shared" si="211"/>
        <v>6.608005707841526</v>
      </c>
      <c r="S256" s="229">
        <f t="shared" si="211"/>
        <v>8.398924325298552</v>
      </c>
      <c r="T256" s="229">
        <f t="shared" si="211"/>
        <v>10.775654267840494</v>
      </c>
      <c r="U256" s="229">
        <f t="shared" si="211"/>
        <v>13.507722742669031</v>
      </c>
      <c r="V256" s="229">
        <f t="shared" si="211"/>
        <v>15.89600345583326</v>
      </c>
      <c r="W256" s="229">
        <f t="shared" si="211"/>
        <v>16.645841387545566</v>
      </c>
      <c r="X256" s="229">
        <f t="shared" si="211"/>
        <v>14.080384282250307</v>
      </c>
      <c r="Y256" s="229">
        <f t="shared" si="211"/>
        <v>8.3081621291518</v>
      </c>
      <c r="Z256" s="229">
        <f t="shared" si="211"/>
        <v>4.645921560881645</v>
      </c>
      <c r="AA256" s="6"/>
    </row>
    <row r="257" spans="1:27" s="216" customFormat="1" ht="15">
      <c r="A257" s="74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6"/>
    </row>
    <row r="258" spans="1:27" s="216" customFormat="1" ht="15">
      <c r="A258" s="74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6"/>
    </row>
    <row r="259" spans="1:27" s="216" customFormat="1" ht="15">
      <c r="A259" s="74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6"/>
    </row>
    <row r="260" spans="1:27" s="216" customFormat="1" ht="15">
      <c r="A260" s="74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6"/>
    </row>
    <row r="261" spans="1:27" s="216" customFormat="1" ht="15">
      <c r="A261" s="74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6"/>
    </row>
    <row r="262" spans="1:27" s="216" customFormat="1" ht="15">
      <c r="A262" s="74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6"/>
    </row>
    <row r="263" spans="1:27" s="216" customFormat="1" ht="15">
      <c r="A263" s="74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6"/>
    </row>
    <row r="264" spans="1:27" s="216" customFormat="1" ht="15">
      <c r="A264" s="74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6"/>
    </row>
    <row r="265" spans="1:27" s="216" customFormat="1" ht="15">
      <c r="A265" s="74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6"/>
    </row>
    <row r="266" spans="1:27" s="216" customFormat="1" ht="15">
      <c r="A266" s="74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6"/>
    </row>
    <row r="267" spans="1:27" s="216" customFormat="1" ht="15">
      <c r="A267" s="74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6"/>
    </row>
    <row r="268" spans="1:27" s="216" customFormat="1" ht="15">
      <c r="A268" s="74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6"/>
    </row>
    <row r="269" spans="1:27" s="216" customFormat="1" ht="15">
      <c r="A269" s="74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6"/>
    </row>
    <row r="270" spans="1:27" s="216" customFormat="1" ht="15">
      <c r="A270" s="74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6"/>
    </row>
    <row r="271" spans="1:27" s="216" customFormat="1" ht="15">
      <c r="A271" s="74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6"/>
    </row>
    <row r="272" spans="1:27" s="216" customFormat="1" ht="15">
      <c r="A272" s="74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6"/>
    </row>
    <row r="273" spans="1:27" s="216" customFormat="1" ht="15">
      <c r="A273" s="74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6"/>
    </row>
    <row r="274" spans="1:27" s="216" customFormat="1" ht="15">
      <c r="A274" s="74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6"/>
    </row>
    <row r="275" spans="1:27" s="216" customFormat="1" ht="15">
      <c r="A275" s="74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6"/>
    </row>
    <row r="276" spans="1:27" s="216" customFormat="1" ht="15">
      <c r="A276" s="74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6"/>
    </row>
    <row r="277" spans="1:27" s="216" customFormat="1" ht="15">
      <c r="A277" s="74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6"/>
    </row>
    <row r="278" spans="1:27" s="216" customFormat="1" ht="15">
      <c r="A278" s="74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6"/>
    </row>
    <row r="279" spans="1:27" s="216" customFormat="1" ht="15">
      <c r="A279" s="74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6"/>
    </row>
    <row r="280" spans="1:27" s="216" customFormat="1" ht="15">
      <c r="A280" s="74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6"/>
    </row>
    <row r="281" spans="1:27" s="216" customFormat="1" ht="15">
      <c r="A281" s="74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6"/>
    </row>
    <row r="282" spans="1:27" s="216" customFormat="1" ht="15">
      <c r="A282" s="74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6"/>
    </row>
    <row r="283" spans="1:27" s="216" customFormat="1" ht="15">
      <c r="A283" s="74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6"/>
    </row>
    <row r="284" spans="1:27" s="216" customFormat="1" ht="15">
      <c r="A284" s="74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6"/>
    </row>
    <row r="285" spans="1:27" s="216" customFormat="1" ht="15">
      <c r="A285" s="74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6"/>
    </row>
    <row r="286" spans="1:27" s="216" customFormat="1" ht="15">
      <c r="A286" s="74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6"/>
    </row>
    <row r="287" spans="1:27" s="216" customFormat="1" ht="15">
      <c r="A287" s="74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6"/>
    </row>
    <row r="288" spans="1:27" s="216" customFormat="1" ht="15">
      <c r="A288" s="74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6"/>
    </row>
    <row r="289" spans="1:27" s="216" customFormat="1" ht="15">
      <c r="A289" s="5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6"/>
    </row>
    <row r="290" spans="1:27" s="216" customFormat="1" ht="15">
      <c r="A290" s="5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6"/>
    </row>
    <row r="291" spans="1:27" s="216" customFormat="1" ht="15">
      <c r="A291" s="5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6"/>
    </row>
    <row r="292" spans="1:27" s="216" customFormat="1" ht="15">
      <c r="A292" s="5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6"/>
    </row>
    <row r="293" spans="1:27" s="216" customFormat="1" ht="15">
      <c r="A293" s="5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6"/>
    </row>
    <row r="294" spans="1:27" s="216" customFormat="1" ht="15">
      <c r="A294" s="5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6"/>
    </row>
  </sheetData>
  <sheetProtection/>
  <mergeCells count="2">
    <mergeCell ref="N13:P13"/>
    <mergeCell ref="B2:C2"/>
  </mergeCells>
  <conditionalFormatting sqref="A207:A2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C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9" sqref="N15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4" sqref="I24"/>
    </sheetView>
  </sheetViews>
  <sheetFormatPr defaultColWidth="9.140625" defaultRowHeight="15"/>
  <cols>
    <col min="8" max="13" width="9.00390625" style="48" customWidth="1"/>
  </cols>
  <sheetData>
    <row r="1" spans="1:13" ht="15">
      <c r="A1" s="38"/>
      <c r="B1" s="39" t="s">
        <v>225</v>
      </c>
      <c r="C1" s="39" t="s">
        <v>227</v>
      </c>
      <c r="D1" s="39" t="s">
        <v>226</v>
      </c>
      <c r="G1" s="102" t="s">
        <v>245</v>
      </c>
      <c r="H1" s="42" t="s">
        <v>257</v>
      </c>
      <c r="I1" s="42" t="s">
        <v>258</v>
      </c>
      <c r="J1" s="42" t="s">
        <v>259</v>
      </c>
      <c r="K1" s="42" t="s">
        <v>260</v>
      </c>
      <c r="L1" s="42" t="s">
        <v>261</v>
      </c>
      <c r="M1" s="42"/>
    </row>
    <row r="2" spans="1:13" ht="15">
      <c r="A2" s="17" t="s">
        <v>284</v>
      </c>
      <c r="B2" s="15">
        <v>20</v>
      </c>
      <c r="C2" s="15">
        <v>57</v>
      </c>
      <c r="D2" s="15">
        <v>117</v>
      </c>
      <c r="G2" s="102" t="s">
        <v>246</v>
      </c>
      <c r="H2" s="42" t="s">
        <v>263</v>
      </c>
      <c r="I2" s="42" t="s">
        <v>264</v>
      </c>
      <c r="J2" s="42" t="s">
        <v>265</v>
      </c>
      <c r="K2" s="42" t="s">
        <v>266</v>
      </c>
      <c r="L2" s="42" t="s">
        <v>267</v>
      </c>
      <c r="M2" s="42" t="s">
        <v>262</v>
      </c>
    </row>
    <row r="3" spans="1:13" ht="15">
      <c r="A3" s="19" t="s">
        <v>285</v>
      </c>
      <c r="B3" s="20">
        <v>26</v>
      </c>
      <c r="C3" s="20">
        <v>62</v>
      </c>
      <c r="D3" s="20">
        <v>118</v>
      </c>
      <c r="G3" s="102" t="s">
        <v>247</v>
      </c>
      <c r="H3" s="42" t="s">
        <v>269</v>
      </c>
      <c r="I3" s="42" t="s">
        <v>270</v>
      </c>
      <c r="J3" s="42" t="s">
        <v>271</v>
      </c>
      <c r="K3" s="42" t="s">
        <v>272</v>
      </c>
      <c r="L3" s="42" t="s">
        <v>273</v>
      </c>
      <c r="M3" s="42" t="s">
        <v>268</v>
      </c>
    </row>
    <row r="4" spans="1:13" ht="15">
      <c r="A4" s="23" t="s">
        <v>286</v>
      </c>
      <c r="B4" s="26">
        <v>24</v>
      </c>
      <c r="C4" s="26">
        <v>66</v>
      </c>
      <c r="D4" s="26">
        <v>119</v>
      </c>
      <c r="G4" s="103" t="str">
        <f>A15</f>
        <v>β=</v>
      </c>
      <c r="H4" s="43" t="s">
        <v>274</v>
      </c>
      <c r="I4" s="43" t="s">
        <v>275</v>
      </c>
      <c r="J4" s="43" t="s">
        <v>276</v>
      </c>
      <c r="K4" s="43" t="s">
        <v>277</v>
      </c>
      <c r="L4" s="43" t="s">
        <v>278</v>
      </c>
      <c r="M4" s="43"/>
    </row>
    <row r="5" spans="1:13" ht="15">
      <c r="A5" s="40" t="s">
        <v>287</v>
      </c>
      <c r="B5" s="41">
        <v>25</v>
      </c>
      <c r="C5" s="41">
        <v>59</v>
      </c>
      <c r="D5" s="41">
        <v>120</v>
      </c>
      <c r="G5" s="103" t="str">
        <f>A14</f>
        <v>α=</v>
      </c>
      <c r="H5" s="43" t="s">
        <v>279</v>
      </c>
      <c r="I5" s="43" t="s">
        <v>280</v>
      </c>
      <c r="J5" s="43" t="s">
        <v>281</v>
      </c>
      <c r="K5" s="43" t="s">
        <v>282</v>
      </c>
      <c r="L5" s="43" t="s">
        <v>283</v>
      </c>
      <c r="M5" s="43"/>
    </row>
    <row r="6" spans="1:13" ht="15">
      <c r="A6" s="11"/>
      <c r="B6" s="12"/>
      <c r="C6" s="12"/>
      <c r="D6" s="12"/>
      <c r="G6" s="35"/>
      <c r="H6" s="37" t="s">
        <v>16</v>
      </c>
      <c r="I6" s="37" t="s">
        <v>20</v>
      </c>
      <c r="J6" s="37" t="s">
        <v>23</v>
      </c>
      <c r="K6" s="37" t="s">
        <v>254</v>
      </c>
      <c r="L6" s="37" t="s">
        <v>255</v>
      </c>
      <c r="M6" s="37" t="s">
        <v>256</v>
      </c>
    </row>
    <row r="7" spans="1:13" ht="15">
      <c r="A7" s="36"/>
      <c r="B7" s="37" t="s">
        <v>15</v>
      </c>
      <c r="C7" s="37" t="s">
        <v>19</v>
      </c>
      <c r="D7" s="37" t="s">
        <v>25</v>
      </c>
      <c r="E7" s="37" t="s">
        <v>230</v>
      </c>
      <c r="G7" s="18" t="s">
        <v>228</v>
      </c>
      <c r="H7" s="16">
        <v>39</v>
      </c>
      <c r="I7" s="16">
        <v>82</v>
      </c>
      <c r="J7" s="16">
        <v>131</v>
      </c>
      <c r="K7" s="16">
        <v>148</v>
      </c>
      <c r="L7" s="16">
        <v>163</v>
      </c>
      <c r="M7" s="16">
        <v>187</v>
      </c>
    </row>
    <row r="8" spans="1:13" ht="15">
      <c r="A8" s="17" t="s">
        <v>228</v>
      </c>
      <c r="B8" s="16">
        <v>31</v>
      </c>
      <c r="C8" s="16">
        <v>72</v>
      </c>
      <c r="D8" s="16">
        <v>122</v>
      </c>
      <c r="E8" s="16"/>
      <c r="G8" s="18" t="s">
        <v>229</v>
      </c>
      <c r="H8" s="16">
        <v>40</v>
      </c>
      <c r="I8" s="16">
        <v>83</v>
      </c>
      <c r="J8" s="16">
        <v>132</v>
      </c>
      <c r="K8" s="16">
        <v>149</v>
      </c>
      <c r="L8" s="16">
        <v>164</v>
      </c>
      <c r="M8" s="16">
        <v>188</v>
      </c>
    </row>
    <row r="9" spans="1:13" ht="15">
      <c r="A9" s="17" t="s">
        <v>229</v>
      </c>
      <c r="B9" s="16">
        <v>32</v>
      </c>
      <c r="C9" s="16">
        <v>73</v>
      </c>
      <c r="D9" s="16">
        <v>123</v>
      </c>
      <c r="E9" s="16"/>
      <c r="G9" s="22" t="s">
        <v>231</v>
      </c>
      <c r="H9" s="20">
        <v>41</v>
      </c>
      <c r="I9" s="20">
        <v>84</v>
      </c>
      <c r="J9" s="20">
        <v>133</v>
      </c>
      <c r="K9" s="20">
        <v>150</v>
      </c>
      <c r="L9" s="20">
        <v>165</v>
      </c>
      <c r="M9" s="20">
        <v>189</v>
      </c>
    </row>
    <row r="10" spans="1:13" ht="15">
      <c r="A10" s="19" t="s">
        <v>231</v>
      </c>
      <c r="B10" s="21">
        <v>33</v>
      </c>
      <c r="C10" s="21">
        <v>74</v>
      </c>
      <c r="D10" s="21">
        <v>124</v>
      </c>
      <c r="E10" s="21">
        <v>215</v>
      </c>
      <c r="G10" s="22" t="s">
        <v>233</v>
      </c>
      <c r="H10" s="20">
        <v>42</v>
      </c>
      <c r="I10" s="20">
        <v>85</v>
      </c>
      <c r="J10" s="20">
        <v>134</v>
      </c>
      <c r="K10" s="20">
        <v>151</v>
      </c>
      <c r="L10" s="20">
        <v>166</v>
      </c>
      <c r="M10" s="20">
        <v>190</v>
      </c>
    </row>
    <row r="11" spans="1:13" ht="15">
      <c r="A11" s="19" t="s">
        <v>233</v>
      </c>
      <c r="B11" s="21">
        <v>34</v>
      </c>
      <c r="C11" s="21">
        <v>75</v>
      </c>
      <c r="D11" s="21">
        <v>124</v>
      </c>
      <c r="E11" s="21">
        <v>216</v>
      </c>
      <c r="G11" s="25" t="s">
        <v>234</v>
      </c>
      <c r="H11" s="26">
        <v>43</v>
      </c>
      <c r="I11" s="26">
        <v>86</v>
      </c>
      <c r="J11" s="26">
        <v>135</v>
      </c>
      <c r="K11" s="26">
        <v>152</v>
      </c>
      <c r="L11" s="26">
        <v>167</v>
      </c>
      <c r="M11" s="26">
        <v>191</v>
      </c>
    </row>
    <row r="12" spans="1:13" ht="15">
      <c r="A12" s="23" t="s">
        <v>234</v>
      </c>
      <c r="B12" s="24">
        <v>35</v>
      </c>
      <c r="C12" s="24">
        <v>76</v>
      </c>
      <c r="D12" s="24">
        <v>126</v>
      </c>
      <c r="E12" s="24"/>
      <c r="G12" s="25" t="s">
        <v>232</v>
      </c>
      <c r="H12" s="26">
        <v>44</v>
      </c>
      <c r="I12" s="26">
        <v>87</v>
      </c>
      <c r="J12" s="26">
        <v>136</v>
      </c>
      <c r="K12" s="26">
        <v>153</v>
      </c>
      <c r="L12" s="26">
        <v>168</v>
      </c>
      <c r="M12" s="26">
        <v>192</v>
      </c>
    </row>
    <row r="13" spans="1:13" ht="15">
      <c r="A13" s="23" t="s">
        <v>232</v>
      </c>
      <c r="B13" s="24">
        <v>36</v>
      </c>
      <c r="C13" s="24">
        <v>77</v>
      </c>
      <c r="D13" s="24">
        <v>127</v>
      </c>
      <c r="E13" s="24"/>
      <c r="G13" s="99" t="s">
        <v>248</v>
      </c>
      <c r="H13" s="44">
        <v>46</v>
      </c>
      <c r="I13" s="44">
        <v>89</v>
      </c>
      <c r="J13" s="44">
        <v>138</v>
      </c>
      <c r="K13" s="44">
        <v>155</v>
      </c>
      <c r="L13" s="44">
        <v>170</v>
      </c>
      <c r="M13" s="44">
        <v>194</v>
      </c>
    </row>
    <row r="14" spans="1:13" ht="15">
      <c r="A14" s="27" t="s">
        <v>235</v>
      </c>
      <c r="B14" s="28" t="s">
        <v>239</v>
      </c>
      <c r="C14" s="28" t="s">
        <v>241</v>
      </c>
      <c r="D14" s="28" t="s">
        <v>243</v>
      </c>
      <c r="E14" s="28">
        <v>11</v>
      </c>
      <c r="G14" s="99" t="s">
        <v>249</v>
      </c>
      <c r="H14" s="44">
        <v>47</v>
      </c>
      <c r="I14" s="44">
        <v>90</v>
      </c>
      <c r="J14" s="44">
        <v>139</v>
      </c>
      <c r="K14" s="44">
        <v>156</v>
      </c>
      <c r="L14" s="44">
        <v>171</v>
      </c>
      <c r="M14" s="44">
        <v>195</v>
      </c>
    </row>
    <row r="15" spans="1:13" ht="15">
      <c r="A15" s="27" t="s">
        <v>236</v>
      </c>
      <c r="B15" s="28" t="s">
        <v>240</v>
      </c>
      <c r="C15" s="28" t="s">
        <v>242</v>
      </c>
      <c r="D15" s="28" t="s">
        <v>244</v>
      </c>
      <c r="E15" s="28">
        <v>12</v>
      </c>
      <c r="G15" s="100" t="s">
        <v>250</v>
      </c>
      <c r="H15" s="45">
        <v>48</v>
      </c>
      <c r="I15" s="45">
        <v>91</v>
      </c>
      <c r="J15" s="45">
        <v>140</v>
      </c>
      <c r="K15" s="45">
        <v>157</v>
      </c>
      <c r="L15" s="45">
        <v>172</v>
      </c>
      <c r="M15" s="45">
        <v>196</v>
      </c>
    </row>
    <row r="16" spans="1:13" ht="15">
      <c r="A16" s="29" t="s">
        <v>237</v>
      </c>
      <c r="B16" s="30">
        <v>229</v>
      </c>
      <c r="C16" s="30">
        <v>207</v>
      </c>
      <c r="D16" s="30">
        <v>200</v>
      </c>
      <c r="E16" s="30">
        <v>221</v>
      </c>
      <c r="G16" s="101" t="s">
        <v>251</v>
      </c>
      <c r="H16" s="46">
        <v>49</v>
      </c>
      <c r="I16" s="46">
        <v>92</v>
      </c>
      <c r="J16" s="46">
        <v>141</v>
      </c>
      <c r="K16" s="46">
        <v>158</v>
      </c>
      <c r="L16" s="46">
        <v>173</v>
      </c>
      <c r="M16" s="46"/>
    </row>
    <row r="17" spans="1:14" ht="15">
      <c r="A17" s="29" t="s">
        <v>238</v>
      </c>
      <c r="B17" s="30">
        <v>230</v>
      </c>
      <c r="C17" s="30">
        <v>208</v>
      </c>
      <c r="D17" s="30">
        <v>201</v>
      </c>
      <c r="E17" s="30">
        <v>222</v>
      </c>
      <c r="G17" s="101" t="s">
        <v>252</v>
      </c>
      <c r="H17" s="46">
        <v>50</v>
      </c>
      <c r="I17" s="46">
        <v>93</v>
      </c>
      <c r="J17" s="46">
        <v>142</v>
      </c>
      <c r="K17" s="46">
        <v>159</v>
      </c>
      <c r="L17" s="46">
        <v>174</v>
      </c>
      <c r="M17" s="46"/>
      <c r="N17" s="14"/>
    </row>
    <row r="18" spans="1:13" ht="15">
      <c r="A18" s="31" t="s">
        <v>289</v>
      </c>
      <c r="B18" s="32">
        <v>231</v>
      </c>
      <c r="C18" s="32">
        <v>209</v>
      </c>
      <c r="D18" s="32">
        <v>202</v>
      </c>
      <c r="E18" s="32">
        <v>223</v>
      </c>
      <c r="G18" s="101" t="s">
        <v>253</v>
      </c>
      <c r="H18" s="46">
        <v>53</v>
      </c>
      <c r="I18" s="46">
        <v>96</v>
      </c>
      <c r="J18" s="46">
        <v>145</v>
      </c>
      <c r="K18" s="46">
        <v>154</v>
      </c>
      <c r="L18" s="46">
        <v>177</v>
      </c>
      <c r="M18" s="46">
        <v>197</v>
      </c>
    </row>
    <row r="19" spans="1:13" ht="15">
      <c r="A19" s="33" t="s">
        <v>290</v>
      </c>
      <c r="B19" s="34">
        <v>231</v>
      </c>
      <c r="C19" s="34">
        <v>210</v>
      </c>
      <c r="D19" s="34">
        <v>203</v>
      </c>
      <c r="E19" s="34">
        <v>224</v>
      </c>
      <c r="G19" s="47"/>
      <c r="H19" s="47"/>
      <c r="I19" s="47"/>
      <c r="J19" s="47"/>
      <c r="K19" s="47"/>
      <c r="L19" s="47"/>
      <c r="M19" s="47"/>
    </row>
    <row r="20" spans="7:13" ht="15">
      <c r="G20" s="13"/>
      <c r="H20" s="47"/>
      <c r="I20" s="47"/>
      <c r="J20" s="47"/>
      <c r="K20" s="47"/>
      <c r="L20" s="47"/>
      <c r="M20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ЛЁха</dc:creator>
  <cp:keywords/>
  <dc:description/>
  <cp:lastModifiedBy>User</cp:lastModifiedBy>
  <cp:lastPrinted>2009-05-07T06:17:22Z</cp:lastPrinted>
  <dcterms:created xsi:type="dcterms:W3CDTF">2009-03-04T18:31:24Z</dcterms:created>
  <dcterms:modified xsi:type="dcterms:W3CDTF">2009-05-27T04:50:46Z</dcterms:modified>
  <cp:category/>
  <cp:version/>
  <cp:contentType/>
  <cp:contentStatus/>
</cp:coreProperties>
</file>