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450" windowHeight="4620" activeTab="0"/>
  </bookViews>
  <sheets>
    <sheet name="Расчёты" sheetId="1" r:id="rId1"/>
    <sheet name="Графики" sheetId="2" r:id="rId2"/>
    <sheet name="Траектории" sheetId="3" r:id="rId3"/>
    <sheet name="Схема" sheetId="4" r:id="rId4"/>
  </sheets>
  <definedNames/>
  <calcPr fullCalcOnLoad="1"/>
</workbook>
</file>

<file path=xl/sharedStrings.xml><?xml version="1.0" encoding="utf-8"?>
<sst xmlns="http://schemas.openxmlformats.org/spreadsheetml/2006/main" count="286" uniqueCount="244">
  <si>
    <t>ЦЕНТРЫ МАСС</t>
  </si>
  <si>
    <t>g=</t>
  </si>
  <si>
    <t>Тип</t>
  </si>
  <si>
    <t>Значение</t>
  </si>
  <si>
    <t xml:space="preserve">Тип </t>
  </si>
  <si>
    <t>Точка</t>
  </si>
  <si>
    <t>Alfa</t>
  </si>
  <si>
    <t>Beta</t>
  </si>
  <si>
    <t>m</t>
  </si>
  <si>
    <t>mg</t>
  </si>
  <si>
    <t>(Fi)0 grad</t>
  </si>
  <si>
    <t>L1</t>
  </si>
  <si>
    <t>A</t>
  </si>
  <si>
    <t>C1</t>
  </si>
  <si>
    <t>(Fi)t 0</t>
  </si>
  <si>
    <t>L2</t>
  </si>
  <si>
    <t>B</t>
  </si>
  <si>
    <t>C2</t>
  </si>
  <si>
    <t>(Fi)tt  0</t>
  </si>
  <si>
    <t>C3</t>
  </si>
  <si>
    <t xml:space="preserve">   +(Fi)tt=</t>
  </si>
  <si>
    <t>C4</t>
  </si>
  <si>
    <t>Delta(Fi) градусы</t>
  </si>
  <si>
    <t>C5</t>
  </si>
  <si>
    <t>Delta(Fi) радианы</t>
  </si>
  <si>
    <t>Ugol(рад)</t>
  </si>
  <si>
    <t>tg(ugol)=</t>
  </si>
  <si>
    <t>Fi</t>
  </si>
  <si>
    <t>Fi(радианы)</t>
  </si>
  <si>
    <t>Delta(Fi)</t>
  </si>
  <si>
    <t>cos(DeltaFi)</t>
  </si>
  <si>
    <t>sin(DeltaFi)</t>
  </si>
  <si>
    <t>Fi(tt)</t>
  </si>
  <si>
    <t>Delta(t)</t>
  </si>
  <si>
    <t>Fi(t)</t>
  </si>
  <si>
    <t>Fi   расчетн</t>
  </si>
  <si>
    <t>Проверка</t>
  </si>
  <si>
    <t>Кинематический анализ</t>
  </si>
  <si>
    <t xml:space="preserve"> Точка А через О1</t>
  </si>
  <si>
    <t>(X)A=</t>
  </si>
  <si>
    <t>(Y)A=</t>
  </si>
  <si>
    <t>(X_t)A=</t>
  </si>
  <si>
    <t>(Y_t)A=</t>
  </si>
  <si>
    <t>(X_tt)A=</t>
  </si>
  <si>
    <t>(Y_tt)A=</t>
  </si>
  <si>
    <t>Проверка L1</t>
  </si>
  <si>
    <t>(X)B=</t>
  </si>
  <si>
    <t>(Y)B=</t>
  </si>
  <si>
    <t>(X_t)B=</t>
  </si>
  <si>
    <t>(Y_t)B=</t>
  </si>
  <si>
    <t>(X_tt)B=</t>
  </si>
  <si>
    <t>(Y_tt)B=</t>
  </si>
  <si>
    <t>Проверка L2</t>
  </si>
  <si>
    <t>Шляпников С.В.</t>
  </si>
  <si>
    <t>h=</t>
  </si>
  <si>
    <t>sin(Mu)=</t>
  </si>
  <si>
    <t>Mu=</t>
  </si>
  <si>
    <t>Teta(рад)=</t>
  </si>
  <si>
    <t>Teta(град)=</t>
  </si>
  <si>
    <t>Teta(t)=</t>
  </si>
  <si>
    <t>h(t)=</t>
  </si>
  <si>
    <t>h(tt)=</t>
  </si>
  <si>
    <t>Teta(tt)=</t>
  </si>
  <si>
    <t>Delta(Teta)=</t>
  </si>
  <si>
    <t>Угловые характеристики для шатуна AB</t>
  </si>
  <si>
    <t>Численно h(t)=</t>
  </si>
  <si>
    <t>Численно Teta(t)=</t>
  </si>
  <si>
    <t>Численно h(tt)=</t>
  </si>
  <si>
    <t>Численно Teta(tt)=</t>
  </si>
  <si>
    <t>Угловые характеристики кулисной пары с ползушкой на шатуне и фиксированной направляющей GL</t>
  </si>
  <si>
    <t>Угловые характеристики работы кривошипа OA</t>
  </si>
  <si>
    <t>(X)L=</t>
  </si>
  <si>
    <t>(Y)L=</t>
  </si>
  <si>
    <t>Численно (Y_t)L=</t>
  </si>
  <si>
    <t>Численно (X_t)L=</t>
  </si>
  <si>
    <t>Энергетический анализ</t>
  </si>
  <si>
    <t>I</t>
  </si>
  <si>
    <t>(X)C1=</t>
  </si>
  <si>
    <t>(Y)C1=</t>
  </si>
  <si>
    <t>(X_t)C1=</t>
  </si>
  <si>
    <t>(Y_t)C1=</t>
  </si>
  <si>
    <t>(X_tt)C1=</t>
  </si>
  <si>
    <t>(Y_tt)C1=</t>
  </si>
  <si>
    <t>(Fx)C1=</t>
  </si>
  <si>
    <t>(Fy)C1=</t>
  </si>
  <si>
    <t>(M)C1=</t>
  </si>
  <si>
    <t>Wkin(c1)=</t>
  </si>
  <si>
    <t>Wpot(c1)=</t>
  </si>
  <si>
    <t>Wsum(c1)=</t>
  </si>
  <si>
    <t>Ekin(c1)=</t>
  </si>
  <si>
    <t>Epot(c1)=</t>
  </si>
  <si>
    <t>Esum(c1)=</t>
  </si>
  <si>
    <t>точка с1 через точку O</t>
  </si>
  <si>
    <t>расчёт точки L через A</t>
  </si>
  <si>
    <t>расчёт точки L через B</t>
  </si>
  <si>
    <t>(n)t=</t>
  </si>
  <si>
    <t>(X_t)L=</t>
  </si>
  <si>
    <t>(Y_t)L=</t>
  </si>
  <si>
    <t>AL=</t>
  </si>
  <si>
    <t>BL=</t>
  </si>
  <si>
    <t>n=</t>
  </si>
  <si>
    <t xml:space="preserve">tg(Teta)= </t>
  </si>
  <si>
    <t>Eta(гр)</t>
  </si>
  <si>
    <t>Ro(гр)</t>
  </si>
  <si>
    <t>m=</t>
  </si>
  <si>
    <t>M=</t>
  </si>
  <si>
    <t>(X_tt)L=</t>
  </si>
  <si>
    <t>Lt=</t>
  </si>
  <si>
    <t>Ltt=</t>
  </si>
  <si>
    <t>Численно (X_tt)L=</t>
  </si>
  <si>
    <t>Численно (Y_tt)L=</t>
  </si>
  <si>
    <t>(X)C2=</t>
  </si>
  <si>
    <t>(Y)C2=</t>
  </si>
  <si>
    <t>(X_t)C2=</t>
  </si>
  <si>
    <t>(Y_t)C2=</t>
  </si>
  <si>
    <t>(X_tt)C2=</t>
  </si>
  <si>
    <t>(Y_tt)C2=</t>
  </si>
  <si>
    <t>(Fx)C2=</t>
  </si>
  <si>
    <t>(Fy)C2=</t>
  </si>
  <si>
    <t>(M)C2=</t>
  </si>
  <si>
    <t>Wkin(c2)=</t>
  </si>
  <si>
    <t>Wpot(c2)=</t>
  </si>
  <si>
    <t>Wsum(c2)=</t>
  </si>
  <si>
    <t>Ekin(c2)=</t>
  </si>
  <si>
    <t>Epot(c2)=</t>
  </si>
  <si>
    <t>точка с2 через точку A</t>
  </si>
  <si>
    <t>(X)C4=</t>
  </si>
  <si>
    <t>(Y)C4=</t>
  </si>
  <si>
    <t>(X_t)C4=</t>
  </si>
  <si>
    <t>(Y_t)C4=</t>
  </si>
  <si>
    <t>(X_tt)C4=</t>
  </si>
  <si>
    <t>(Y_tt)C4=</t>
  </si>
  <si>
    <t>(Fx)C4=</t>
  </si>
  <si>
    <t>(Fy)C4=</t>
  </si>
  <si>
    <t>(M)C4=</t>
  </si>
  <si>
    <t>Wkin(c4)=</t>
  </si>
  <si>
    <t>Wpot(c4)=</t>
  </si>
  <si>
    <t>Wsum(c4)=</t>
  </si>
  <si>
    <t>Ekin(c4)=</t>
  </si>
  <si>
    <t>Epot(c4)=</t>
  </si>
  <si>
    <t>Esum(c4)=</t>
  </si>
  <si>
    <t>Esum(c2)=</t>
  </si>
  <si>
    <t>(X)C3=</t>
  </si>
  <si>
    <t>(Y)C3=</t>
  </si>
  <si>
    <t>(X_t)C3=</t>
  </si>
  <si>
    <t>(Y_t)C3=</t>
  </si>
  <si>
    <t>(X_tt)C3=</t>
  </si>
  <si>
    <t>(Y_tt)C3=</t>
  </si>
  <si>
    <t>(Fx)C3=</t>
  </si>
  <si>
    <t>(Fy)C3=</t>
  </si>
  <si>
    <t>(M)C3=</t>
  </si>
  <si>
    <t>Ekin(c3)=</t>
  </si>
  <si>
    <t>Epot(c3)=</t>
  </si>
  <si>
    <t>Esum(c3)=</t>
  </si>
  <si>
    <t>Wkin(c3)=</t>
  </si>
  <si>
    <t>Wpot(c3)=</t>
  </si>
  <si>
    <t>Wsum(c3)=</t>
  </si>
  <si>
    <t>точка с4 через точку L</t>
  </si>
  <si>
    <t>точка с3 через точку B</t>
  </si>
  <si>
    <t>точка с5 через точку L</t>
  </si>
  <si>
    <t>(X)C5=</t>
  </si>
  <si>
    <t>(Y)C5=</t>
  </si>
  <si>
    <t>(X_t)C5=</t>
  </si>
  <si>
    <t>(Y_t)C5=</t>
  </si>
  <si>
    <t>(X_tt)C5=</t>
  </si>
  <si>
    <t>(Y_tt)C5=</t>
  </si>
  <si>
    <t>(Fx)C5=</t>
  </si>
  <si>
    <t>(Fy)C5=</t>
  </si>
  <si>
    <t>(M)C5=</t>
  </si>
  <si>
    <t>Wkin(c5)=</t>
  </si>
  <si>
    <t>Wpot(c5)=</t>
  </si>
  <si>
    <t>Wsum(c5)=</t>
  </si>
  <si>
    <t>Ekin(c5)=</t>
  </si>
  <si>
    <t>Epot(c5)=</t>
  </si>
  <si>
    <t>Esum(c5)=</t>
  </si>
  <si>
    <t>T3</t>
  </si>
  <si>
    <t>X(Т3)=</t>
  </si>
  <si>
    <t>Y(Т3)=</t>
  </si>
  <si>
    <t>Xt(T3)=</t>
  </si>
  <si>
    <t>Yt(T3)=</t>
  </si>
  <si>
    <t>Xtt(T3)=</t>
  </si>
  <si>
    <t>Ytt(T3)=</t>
  </si>
  <si>
    <t>ТЕХНОЛОГИЧЕСКИЕ СИЛЫ В ТОЧКЕ Т3 НА ЗВЕНЕ 3</t>
  </si>
  <si>
    <t>L=T3-B3=</t>
  </si>
  <si>
    <t>Ai=</t>
  </si>
  <si>
    <t>Bi=</t>
  </si>
  <si>
    <t>Ci=</t>
  </si>
  <si>
    <t>Wtehn=</t>
  </si>
  <si>
    <t>Tx(T3)=</t>
  </si>
  <si>
    <t>Ty(T3)=</t>
  </si>
  <si>
    <t>M(T3)=</t>
  </si>
  <si>
    <t>ОБОБЩЕННЫЕ СИЛЫ НА ШАРНИРЕ B3</t>
  </si>
  <si>
    <t>Qx(B3)=</t>
  </si>
  <si>
    <t>-</t>
  </si>
  <si>
    <t>PROVERKA</t>
  </si>
  <si>
    <t>ОБОБЩЕННЫЕ СИЛЫ НА ШАРНИРЕ B2</t>
  </si>
  <si>
    <t>Qx(B2)=</t>
  </si>
  <si>
    <t>Qy(B2)=</t>
  </si>
  <si>
    <t>Qy(B3)=</t>
  </si>
  <si>
    <t>M(B3)=</t>
  </si>
  <si>
    <t>W_(B3)=</t>
  </si>
  <si>
    <t>M(B2)=</t>
  </si>
  <si>
    <t>W_(B2)=</t>
  </si>
  <si>
    <t>ОБОБЩЕННЫЕ СИЛЫ НА ШАРНИРЕ L5</t>
  </si>
  <si>
    <t>Qx(L5)=</t>
  </si>
  <si>
    <t>Qx(L4)=</t>
  </si>
  <si>
    <t>(X_t)L2</t>
  </si>
  <si>
    <t>ОБОБЩЕННЫЕ СИЛЫ НА ШАРНИРЕ L2</t>
  </si>
  <si>
    <t>ОБОБЩЕННЫЕ СИЛЫ НА ШАРНИРЕ L4</t>
  </si>
  <si>
    <t>Qy(L4)=</t>
  </si>
  <si>
    <t>Qy(L5)=</t>
  </si>
  <si>
    <t>M(L5)=</t>
  </si>
  <si>
    <t>W_(L5)=</t>
  </si>
  <si>
    <t>M(L4)=</t>
  </si>
  <si>
    <t>W_(L4)=</t>
  </si>
  <si>
    <t>Qx(L2)=</t>
  </si>
  <si>
    <t>Qy(L2)=</t>
  </si>
  <si>
    <t>M(L2)=</t>
  </si>
  <si>
    <t>W_(L2)=</t>
  </si>
  <si>
    <t>ОБОБЩЕННЫЕ СИЛЫ НА ШАРНИРЕ A2</t>
  </si>
  <si>
    <t>Qx(A2)=</t>
  </si>
  <si>
    <t>Qy(A2)=</t>
  </si>
  <si>
    <t>M(A2)=</t>
  </si>
  <si>
    <t>W_(A2)=</t>
  </si>
  <si>
    <t>(Y_t)L2</t>
  </si>
  <si>
    <t>ОБОБЩЕННЫЕ СИЛЫ НА ШАРНИРЕ O</t>
  </si>
  <si>
    <t>Nx(O)=</t>
  </si>
  <si>
    <t>Ny(O)=</t>
  </si>
  <si>
    <t>M(O)=</t>
  </si>
  <si>
    <t>W_(O)=</t>
  </si>
  <si>
    <t>Proverka</t>
  </si>
  <si>
    <t>W(O)</t>
  </si>
  <si>
    <t>W(A)</t>
  </si>
  <si>
    <t>W(B)</t>
  </si>
  <si>
    <t>W(L)</t>
  </si>
  <si>
    <t>W(C1)</t>
  </si>
  <si>
    <t>W(C2)</t>
  </si>
  <si>
    <t>W(C3)</t>
  </si>
  <si>
    <t>W(C4)</t>
  </si>
  <si>
    <t>W(C5)</t>
  </si>
  <si>
    <t>Группа ГГ-1-05</t>
  </si>
  <si>
    <t>Определение углового ускорения кривошипа с учётом динамики механизма</t>
  </si>
  <si>
    <t xml:space="preserve">ЭНЕРГЕТИЧЕСКИЕ ПОТОКИ, ПРИВЕДЕННЫЕ К ОСЯМ ШАРНИРОВ </t>
  </si>
  <si>
    <t>Imax=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</si>
</sst>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.75"/>
      <name val="Arial Cyr"/>
      <family val="0"/>
    </font>
    <font>
      <sz val="15.25"/>
      <name val="Arial Cyr"/>
      <family val="0"/>
    </font>
    <font>
      <sz val="14.5"/>
      <name val="Arial Cyr"/>
      <family val="0"/>
    </font>
    <font>
      <sz val="18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.75"/>
      <name val="Arial Cyr"/>
      <family val="0"/>
    </font>
    <font>
      <sz val="16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" fontId="1" fillId="0" borderId="7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3" xfId="0" applyNumberFormat="1" applyFill="1" applyBorder="1" applyAlignment="1">
      <alignment horizontal="left"/>
    </xf>
    <xf numFmtId="2" fontId="0" fillId="0" borderId="11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Расчёты!$A$272</c:f>
              <c:strCache>
                <c:ptCount val="1"/>
                <c:pt idx="0">
                  <c:v>Wtehn=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Расчёты!$B$272:$IV$272</c:f>
              <c:numCache/>
            </c:numRef>
          </c:val>
          <c:smooth val="0"/>
        </c:ser>
        <c:ser>
          <c:idx val="1"/>
          <c:order val="1"/>
          <c:tx>
            <c:strRef>
              <c:f>Расчёты!$A$273</c:f>
              <c:strCache>
                <c:ptCount val="1"/>
                <c:pt idx="0">
                  <c:v>W(O)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Расчёты!$B$273:$IV$273</c:f>
              <c:numCache/>
            </c:numRef>
          </c:val>
          <c:smooth val="0"/>
        </c:ser>
        <c:ser>
          <c:idx val="2"/>
          <c:order val="2"/>
          <c:tx>
            <c:strRef>
              <c:f>Расчёты!$A$274</c:f>
              <c:strCache>
                <c:ptCount val="1"/>
                <c:pt idx="0">
                  <c:v>W(A)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Расчёты!$B$274:$IV$274</c:f>
              <c:numCache/>
            </c:numRef>
          </c:val>
          <c:smooth val="0"/>
        </c:ser>
        <c:ser>
          <c:idx val="3"/>
          <c:order val="3"/>
          <c:tx>
            <c:strRef>
              <c:f>Расчёты!$A$275</c:f>
              <c:strCache>
                <c:ptCount val="1"/>
                <c:pt idx="0">
                  <c:v>W(B)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Расчёты!$B$275:$IV$275</c:f>
              <c:numCache/>
            </c:numRef>
          </c:val>
          <c:smooth val="0"/>
        </c:ser>
        <c:ser>
          <c:idx val="4"/>
          <c:order val="4"/>
          <c:tx>
            <c:strRef>
              <c:f>Расчёты!$A$276</c:f>
              <c:strCache>
                <c:ptCount val="1"/>
                <c:pt idx="0">
                  <c:v>W(L)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Расчёты!$B$276:$IV$276</c:f>
              <c:numCache/>
            </c:numRef>
          </c:val>
          <c:smooth val="0"/>
        </c:ser>
        <c:marker val="1"/>
        <c:axId val="40832865"/>
        <c:axId val="31951466"/>
      </c:line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1466"/>
        <c:crosses val="autoZero"/>
        <c:auto val="1"/>
        <c:lblOffset val="100"/>
        <c:noMultiLvlLbl val="0"/>
      </c:catAx>
      <c:valAx>
        <c:axId val="3195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2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75"/>
          <c:w val="0.71275"/>
          <c:h val="0.9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Расчёты!$A$51</c:f>
              <c:strCache>
                <c:ptCount val="1"/>
                <c:pt idx="0">
                  <c:v>Teta(tt)=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Расчёты!$B$51:$Z$51</c:f>
              <c:numCache>
                <c:ptCount val="25"/>
                <c:pt idx="0">
                  <c:v>-0.15523035391741266</c:v>
                </c:pt>
                <c:pt idx="1">
                  <c:v>-0.16444062149324778</c:v>
                </c:pt>
                <c:pt idx="2">
                  <c:v>-0.08962168972228154</c:v>
                </c:pt>
                <c:pt idx="3">
                  <c:v>0.026352268306784804</c:v>
                </c:pt>
                <c:pt idx="4">
                  <c:v>0.18169532999653465</c:v>
                </c:pt>
                <c:pt idx="5">
                  <c:v>0.36657708626571567</c:v>
                </c:pt>
                <c:pt idx="6">
                  <c:v>0.534350184493289</c:v>
                </c:pt>
                <c:pt idx="7">
                  <c:v>0.588208040459359</c:v>
                </c:pt>
                <c:pt idx="8">
                  <c:v>0.4751062012895854</c:v>
                </c:pt>
                <c:pt idx="9">
                  <c:v>0.28355322331133354</c:v>
                </c:pt>
                <c:pt idx="10">
                  <c:v>0.12395890202165015</c:v>
                </c:pt>
                <c:pt idx="11">
                  <c:v>0.021660416395728438</c:v>
                </c:pt>
                <c:pt idx="12">
                  <c:v>-0.03864873222817995</c:v>
                </c:pt>
                <c:pt idx="13">
                  <c:v>-0.07218098132641387</c:v>
                </c:pt>
                <c:pt idx="14">
                  <c:v>-0.08857508834137866</c:v>
                </c:pt>
                <c:pt idx="15">
                  <c:v>-0.09420059343192957</c:v>
                </c:pt>
                <c:pt idx="16">
                  <c:v>-0.09396516711382362</c:v>
                </c:pt>
                <c:pt idx="17">
                  <c:v>-0.09235469932087846</c:v>
                </c:pt>
                <c:pt idx="18">
                  <c:v>-0.0941717636950549</c:v>
                </c:pt>
                <c:pt idx="19">
                  <c:v>-0.10487494706400703</c:v>
                </c:pt>
                <c:pt idx="20">
                  <c:v>-0.12936180948850828</c:v>
                </c:pt>
                <c:pt idx="21">
                  <c:v>-0.16794461504810484</c:v>
                </c:pt>
                <c:pt idx="22">
                  <c:v>-0.21142270162135887</c:v>
                </c:pt>
                <c:pt idx="23">
                  <c:v>-0.24116014177466139</c:v>
                </c:pt>
                <c:pt idx="24">
                  <c:v>-0.23736837589719545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Расчёты!$A$52</c:f>
              <c:strCache>
                <c:ptCount val="1"/>
                <c:pt idx="0">
                  <c:v>Численно Teta(tt)=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Расчёты!$B$52:$Z$52</c:f>
              <c:numCache>
                <c:ptCount val="25"/>
                <c:pt idx="0">
                  <c:v>-0.12876281064762643</c:v>
                </c:pt>
                <c:pt idx="1">
                  <c:v>-0.12876281064762643</c:v>
                </c:pt>
                <c:pt idx="2">
                  <c:v>-0.1365513533198741</c:v>
                </c:pt>
                <c:pt idx="3">
                  <c:v>-0.049187756932920705</c:v>
                </c:pt>
                <c:pt idx="4">
                  <c:v>0.08667150314820621</c:v>
                </c:pt>
                <c:pt idx="5">
                  <c:v>0.2607944818360694</c:v>
                </c:pt>
                <c:pt idx="6">
                  <c:v>0.44905298002233673</c:v>
                </c:pt>
                <c:pt idx="7">
                  <c:v>0.5792049076619945</c:v>
                </c:pt>
                <c:pt idx="8">
                  <c:v>0.5578429525518446</c:v>
                </c:pt>
                <c:pt idx="9">
                  <c:v>0.3936131436110661</c:v>
                </c:pt>
                <c:pt idx="10">
                  <c:v>0.20532636432715778</c:v>
                </c:pt>
                <c:pt idx="11">
                  <c:v>0.07043256393414579</c:v>
                </c:pt>
                <c:pt idx="12">
                  <c:v>-0.011068964855696362</c:v>
                </c:pt>
                <c:pt idx="13">
                  <c:v>-0.05814559640366056</c:v>
                </c:pt>
                <c:pt idx="14">
                  <c:v>-0.08378423534058287</c:v>
                </c:pt>
                <c:pt idx="15">
                  <c:v>-0.09562081462926304</c:v>
                </c:pt>
                <c:pt idx="16">
                  <c:v>-0.09883939396343583</c:v>
                </c:pt>
                <c:pt idx="17">
                  <c:v>-0.09768958929351153</c:v>
                </c:pt>
                <c:pt idx="18">
                  <c:v>-0.0962959043786475</c:v>
                </c:pt>
                <c:pt idx="19">
                  <c:v>-0.09928676017750752</c:v>
                </c:pt>
                <c:pt idx="20">
                  <c:v>-0.11208358276698081</c:v>
                </c:pt>
                <c:pt idx="21">
                  <c:v>-0.13950291494270417</c:v>
                </c:pt>
                <c:pt idx="22">
                  <c:v>-0.18089043271038</c:v>
                </c:pt>
                <c:pt idx="23">
                  <c:v>-0.22404070594979889</c:v>
                </c:pt>
                <c:pt idx="24">
                  <c:v>-0.2466895482747159</c:v>
                </c:pt>
              </c:numCache>
            </c:numRef>
          </c:yVal>
          <c:smooth val="1"/>
        </c:ser>
        <c:axId val="19128453"/>
        <c:axId val="37938350"/>
      </c:scatterChart>
      <c:val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8350"/>
        <c:crosses val="autoZero"/>
        <c:crossBetween val="midCat"/>
        <c:dispUnits/>
      </c:valAx>
      <c:valAx>
        <c:axId val="3793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8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4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Расчёты!$A$55</c:f>
              <c:strCache>
                <c:ptCount val="1"/>
                <c:pt idx="0">
                  <c:v>(Y)B=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Расчёты!$B$55:$Z$55</c:f>
              <c:numCache>
                <c:ptCount val="25"/>
                <c:pt idx="0">
                  <c:v>-0.5121594705703002</c:v>
                </c:pt>
                <c:pt idx="1">
                  <c:v>-0.5481766894939408</c:v>
                </c:pt>
                <c:pt idx="2">
                  <c:v>-0.6214306812081076</c:v>
                </c:pt>
                <c:pt idx="3">
                  <c:v>-0.7288910244137634</c:v>
                </c:pt>
                <c:pt idx="4">
                  <c:v>-0.8630347321604112</c:v>
                </c:pt>
                <c:pt idx="5">
                  <c:v>-1.0113834351204405</c:v>
                </c:pt>
                <c:pt idx="6">
                  <c:v>-1.1568352331351344</c:v>
                </c:pt>
                <c:pt idx="7">
                  <c:v>-1.280347886220179</c:v>
                </c:pt>
                <c:pt idx="8">
                  <c:v>-1.3671585657895258</c:v>
                </c:pt>
                <c:pt idx="9">
                  <c:v>-1.412768950941248</c:v>
                </c:pt>
                <c:pt idx="10">
                  <c:v>-1.4220396599177865</c:v>
                </c:pt>
                <c:pt idx="11">
                  <c:v>-1.4031371273246214</c:v>
                </c:pt>
                <c:pt idx="12">
                  <c:v>-1.363147032999016</c:v>
                </c:pt>
                <c:pt idx="13">
                  <c:v>-1.3069843725553483</c:v>
                </c:pt>
                <c:pt idx="14">
                  <c:v>-1.237847995361812</c:v>
                </c:pt>
                <c:pt idx="15">
                  <c:v>-1.1579714795009082</c:v>
                </c:pt>
                <c:pt idx="16">
                  <c:v>-1.0693035359235017</c:v>
                </c:pt>
                <c:pt idx="17">
                  <c:v>-0.9740848572913633</c:v>
                </c:pt>
                <c:pt idx="18">
                  <c:v>-0.8753307199512201</c:v>
                </c:pt>
                <c:pt idx="19">
                  <c:v>-0.7771849038734138</c:v>
                </c:pt>
                <c:pt idx="20">
                  <c:v>-0.6850642751542728</c:v>
                </c:pt>
                <c:pt idx="21">
                  <c:v>-0.6055060425823645</c:v>
                </c:pt>
                <c:pt idx="22">
                  <c:v>-0.5456777133390618</c:v>
                </c:pt>
                <c:pt idx="23">
                  <c:v>-0.5125940814744991</c:v>
                </c:pt>
                <c:pt idx="24">
                  <c:v>-0.5121594705703004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Расчёты!$A$58</c:f>
              <c:strCache>
                <c:ptCount val="1"/>
                <c:pt idx="0">
                  <c:v>(Y_t)B=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Расчёты!$B$58:$Z$58</c:f>
              <c:numCache>
                <c:ptCount val="25"/>
                <c:pt idx="0">
                  <c:v>-0.06638805372288892</c:v>
                </c:pt>
                <c:pt idx="1">
                  <c:v>-0.20931356500710474</c:v>
                </c:pt>
                <c:pt idx="2">
                  <c:v>-0.34933206059662403</c:v>
                </c:pt>
                <c:pt idx="3">
                  <c:v>-0.47143472542812515</c:v>
                </c:pt>
                <c:pt idx="4">
                  <c:v>-0.5576847305078382</c:v>
                </c:pt>
                <c:pt idx="5">
                  <c:v>-0.5881394395333515</c:v>
                </c:pt>
                <c:pt idx="6">
                  <c:v>-0.5459010971149387</c:v>
                </c:pt>
                <c:pt idx="7">
                  <c:v>-0.4304261494252669</c:v>
                </c:pt>
                <c:pt idx="8">
                  <c:v>-0.2702697559985229</c:v>
                </c:pt>
                <c:pt idx="9">
                  <c:v>-0.10903165689324468</c:v>
                </c:pt>
                <c:pt idx="10">
                  <c:v>0.026240361544249025</c:v>
                </c:pt>
                <c:pt idx="11">
                  <c:v>0.1323037382139125</c:v>
                </c:pt>
                <c:pt idx="12">
                  <c:v>0.21657535412136353</c:v>
                </c:pt>
                <c:pt idx="13">
                  <c:v>0.2870083431595314</c:v>
                </c:pt>
                <c:pt idx="14">
                  <c:v>0.3488621399410303</c:v>
                </c:pt>
                <c:pt idx="15">
                  <c:v>0.40434879708089944</c:v>
                </c:pt>
                <c:pt idx="16">
                  <c:v>0.4528043830362374</c:v>
                </c:pt>
                <c:pt idx="17">
                  <c:v>0.49080795350309364</c:v>
                </c:pt>
                <c:pt idx="18">
                  <c:v>0.5123659590556966</c:v>
                </c:pt>
                <c:pt idx="19">
                  <c:v>0.509471107102482</c:v>
                </c:pt>
                <c:pt idx="20">
                  <c:v>0.47328391178496915</c:v>
                </c:pt>
                <c:pt idx="21">
                  <c:v>0.39593425421727135</c:v>
                </c:pt>
                <c:pt idx="22">
                  <c:v>0.27262242567799366</c:v>
                </c:pt>
                <c:pt idx="23">
                  <c:v>0.10352455640197555</c:v>
                </c:pt>
                <c:pt idx="24">
                  <c:v>-0.10489436312663236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Расчёты!$A$60</c:f>
              <c:strCache>
                <c:ptCount val="1"/>
                <c:pt idx="0">
                  <c:v>(Y_tt)B=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Расчёты!$B$60:$Z$60</c:f>
              <c:numCache>
                <c:ptCount val="25"/>
                <c:pt idx="0">
                  <c:v>-0.5355314150443189</c:v>
                </c:pt>
                <c:pt idx="1">
                  <c:v>-0.5500441829109133</c:v>
                </c:pt>
                <c:pt idx="2">
                  <c:v>-0.5141793148574354</c:v>
                </c:pt>
                <c:pt idx="3">
                  <c:v>-0.41570883182598883</c:v>
                </c:pt>
                <c:pt idx="4">
                  <c:v>-0.24194389519894338</c:v>
                </c:pt>
                <c:pt idx="5">
                  <c:v>0.012594395024941168</c:v>
                </c:pt>
                <c:pt idx="6">
                  <c:v>0.3194603443871105</c:v>
                </c:pt>
                <c:pt idx="7">
                  <c:v>0.5821252719899594</c:v>
                </c:pt>
                <c:pt idx="8">
                  <c:v>0.6847495484883863</c:v>
                </c:pt>
                <c:pt idx="9">
                  <c:v>0.6271849510059816</c:v>
                </c:pt>
                <c:pt idx="10">
                  <c:v>0.5098676264250435</c:v>
                </c:pt>
                <c:pt idx="11">
                  <c:v>0.40736261442761057</c:v>
                </c:pt>
                <c:pt idx="12">
                  <c:v>0.3389589261298837</c:v>
                </c:pt>
                <c:pt idx="13">
                  <c:v>0.2982803926862817</c:v>
                </c:pt>
                <c:pt idx="14">
                  <c:v>0.2729369081191633</c:v>
                </c:pt>
                <c:pt idx="15">
                  <c:v>0.24986556316125585</c:v>
                </c:pt>
                <c:pt idx="16">
                  <c:v>0.21546049060527894</c:v>
                </c:pt>
                <c:pt idx="17">
                  <c:v>0.15525189438129178</c:v>
                </c:pt>
                <c:pt idx="18">
                  <c:v>0.05494170497613654</c:v>
                </c:pt>
                <c:pt idx="19">
                  <c:v>-0.09669496692051924</c:v>
                </c:pt>
                <c:pt idx="20">
                  <c:v>-0.3036234351105368</c:v>
                </c:pt>
                <c:pt idx="21">
                  <c:v>-0.5586573790740794</c:v>
                </c:pt>
                <c:pt idx="22">
                  <c:v>-0.8416098462060565</c:v>
                </c:pt>
                <c:pt idx="23">
                  <c:v>-1.1201961280972195</c:v>
                </c:pt>
                <c:pt idx="24">
                  <c:v>-1.3528653213391448</c:v>
                </c:pt>
              </c:numCache>
            </c:numRef>
          </c:yVal>
          <c:smooth val="1"/>
        </c:ser>
        <c:axId val="5900831"/>
        <c:axId val="53107480"/>
      </c:scatterChart>
      <c:val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7480"/>
        <c:crosses val="autoZero"/>
        <c:crossBetween val="midCat"/>
        <c:dispUnits/>
      </c:valAx>
      <c:valAx>
        <c:axId val="53107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Расчёты!$A$54</c:f>
              <c:strCache>
                <c:ptCount val="1"/>
                <c:pt idx="0">
                  <c:v>(X)B=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Расчёты!$B$54:$IV$54</c:f>
              <c:numCache>
                <c:ptCount val="26"/>
                <c:pt idx="0">
                  <c:v>4.631432921986749</c:v>
                </c:pt>
                <c:pt idx="1">
                  <c:v>4.537604858828092</c:v>
                </c:pt>
                <c:pt idx="2">
                  <c:v>4.346771686068345</c:v>
                </c:pt>
                <c:pt idx="3">
                  <c:v>4.066827921095048</c:v>
                </c:pt>
                <c:pt idx="4">
                  <c:v>3.7173716149467757</c:v>
                </c:pt>
                <c:pt idx="5">
                  <c:v>3.3309100311040947</c:v>
                </c:pt>
                <c:pt idx="6">
                  <c:v>2.951995142655963</c:v>
                </c:pt>
                <c:pt idx="7">
                  <c:v>2.6302336807527946</c:v>
                </c:pt>
                <c:pt idx="8">
                  <c:v>2.4040841287080514</c:v>
                </c:pt>
                <c:pt idx="9">
                  <c:v>2.2852650131128263</c:v>
                </c:pt>
                <c:pt idx="10">
                  <c:v>2.261113990536088</c:v>
                </c:pt>
                <c:pt idx="11">
                  <c:v>2.31035677148956</c:v>
                </c:pt>
                <c:pt idx="12">
                  <c:v>2.41453452891327</c:v>
                </c:pt>
                <c:pt idx="13">
                  <c:v>2.5608432614791785</c:v>
                </c:pt>
                <c:pt idx="14">
                  <c:v>2.7409496816786056</c:v>
                </c:pt>
                <c:pt idx="15">
                  <c:v>2.949035119673687</c:v>
                </c:pt>
                <c:pt idx="16">
                  <c:v>3.180023009876076</c:v>
                </c:pt>
                <c:pt idx="17">
                  <c:v>3.4280761483352533</c:v>
                </c:pt>
                <c:pt idx="18">
                  <c:v>3.6853394716133305</c:v>
                </c:pt>
                <c:pt idx="19">
                  <c:v>3.941018063823072</c:v>
                </c:pt>
                <c:pt idx="20">
                  <c:v>4.181000506332024</c:v>
                </c:pt>
                <c:pt idx="21">
                  <c:v>4.388256788011468</c:v>
                </c:pt>
                <c:pt idx="22">
                  <c:v>4.544114914282097</c:v>
                </c:pt>
                <c:pt idx="23">
                  <c:v>4.630300721872826</c:v>
                </c:pt>
                <c:pt idx="24">
                  <c:v>4.631432921986749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Расчёты!$A$57</c:f>
              <c:strCache>
                <c:ptCount val="1"/>
                <c:pt idx="0">
                  <c:v>(X_t)B=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Расчёты!$B$57:$Z$57</c:f>
              <c:numCache>
                <c:ptCount val="25"/>
                <c:pt idx="0">
                  <c:v>-0.17294679277980196</c:v>
                </c:pt>
                <c:pt idx="1">
                  <c:v>-0.5452804792920829</c:v>
                </c:pt>
                <c:pt idx="2">
                  <c:v>-0.9100411310072172</c:v>
                </c:pt>
                <c:pt idx="3">
                  <c:v>-1.228129447929733</c:v>
                </c:pt>
                <c:pt idx="4">
                  <c:v>-1.4528183929926786</c:v>
                </c:pt>
                <c:pt idx="5">
                  <c:v>-1.5321556224434751</c:v>
                </c:pt>
                <c:pt idx="6">
                  <c:v>-1.4221209784984756</c:v>
                </c:pt>
                <c:pt idx="7">
                  <c:v>-1.121298455026023</c:v>
                </c:pt>
                <c:pt idx="8">
                  <c:v>-0.7040767858692142</c:v>
                </c:pt>
                <c:pt idx="9">
                  <c:v>-0.28403717707803877</c:v>
                </c:pt>
                <c:pt idx="10">
                  <c:v>0.06835847891253466</c:v>
                </c:pt>
                <c:pt idx="11">
                  <c:v>0.34466302163917484</c:v>
                </c:pt>
                <c:pt idx="12">
                  <c:v>0.5641980867037508</c:v>
                </c:pt>
                <c:pt idx="13">
                  <c:v>0.7476822962407808</c:v>
                </c:pt>
                <c:pt idx="14">
                  <c:v>0.9088169458460563</c:v>
                </c:pt>
                <c:pt idx="15">
                  <c:v>1.053364629597543</c:v>
                </c:pt>
                <c:pt idx="16">
                  <c:v>1.1795957466931255</c:v>
                </c:pt>
                <c:pt idx="17">
                  <c:v>1.278598432535653</c:v>
                </c:pt>
                <c:pt idx="18">
                  <c:v>1.3347589570573473</c:v>
                </c:pt>
                <c:pt idx="19">
                  <c:v>1.3272176098901205</c:v>
                </c:pt>
                <c:pt idx="20">
                  <c:v>1.232946743086529</c:v>
                </c:pt>
                <c:pt idx="21">
                  <c:v>1.0314439959991095</c:v>
                </c:pt>
                <c:pt idx="22">
                  <c:v>0.7102056999240398</c:v>
                </c:pt>
                <c:pt idx="23">
                  <c:v>0.2696906898100641</c:v>
                </c:pt>
                <c:pt idx="24">
                  <c:v>-0.27325915832921055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Расчёты!$A$59</c:f>
              <c:strCache>
                <c:ptCount val="1"/>
                <c:pt idx="0">
                  <c:v>(X_tt)B=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Расчёты!$B$59:$Z$59</c:f>
              <c:numCache>
                <c:ptCount val="25"/>
                <c:pt idx="0">
                  <c:v>-1.3951070331319524</c:v>
                </c:pt>
                <c:pt idx="1">
                  <c:v>-1.4329140859996574</c:v>
                </c:pt>
                <c:pt idx="2">
                  <c:v>-1.339482910426856</c:v>
                </c:pt>
                <c:pt idx="3">
                  <c:v>-1.082958531886518</c:v>
                </c:pt>
                <c:pt idx="4">
                  <c:v>-0.6302853956521907</c:v>
                </c:pt>
                <c:pt idx="5">
                  <c:v>0.03280952075590793</c:v>
                </c:pt>
                <c:pt idx="6">
                  <c:v>0.8322226497661775</c:v>
                </c:pt>
                <c:pt idx="7">
                  <c:v>1.5164881803429473</c:v>
                </c:pt>
                <c:pt idx="8">
                  <c:v>1.7838335608211122</c:v>
                </c:pt>
                <c:pt idx="9">
                  <c:v>1.6338726574061995</c:v>
                </c:pt>
                <c:pt idx="10">
                  <c:v>1.3282505780412648</c:v>
                </c:pt>
                <c:pt idx="11">
                  <c:v>1.0612158922104453</c:v>
                </c:pt>
                <c:pt idx="12">
                  <c:v>0.8830181918413141</c:v>
                </c:pt>
                <c:pt idx="13">
                  <c:v>0.7770469891996057</c:v>
                </c:pt>
                <c:pt idx="14">
                  <c:v>0.7110249546925693</c:v>
                </c:pt>
                <c:pt idx="15">
                  <c:v>0.6509220462349464</c:v>
                </c:pt>
                <c:pt idx="16">
                  <c:v>0.5612937679493744</c:v>
                </c:pt>
                <c:pt idx="17">
                  <c:v>0.4044450123257001</c:v>
                </c:pt>
                <c:pt idx="18">
                  <c:v>0.14312803482896672</c:v>
                </c:pt>
                <c:pt idx="19">
                  <c:v>-0.2518990009355732</c:v>
                </c:pt>
                <c:pt idx="20">
                  <c:v>-0.790966090591225</c:v>
                </c:pt>
                <c:pt idx="21">
                  <c:v>-1.455352229136384</c:v>
                </c:pt>
                <c:pt idx="22">
                  <c:v>-2.192468607090031</c:v>
                </c:pt>
                <c:pt idx="23">
                  <c:v>-2.918210683618403</c:v>
                </c:pt>
                <c:pt idx="24">
                  <c:v>-3.5243346546240724</c:v>
                </c:pt>
              </c:numCache>
            </c:numRef>
          </c:yVal>
          <c:smooth val="1"/>
        </c:ser>
        <c:axId val="8205273"/>
        <c:axId val="6738594"/>
      </c:scatterChart>
      <c:valAx>
        <c:axId val="8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8594"/>
        <c:crosses val="autoZero"/>
        <c:crossBetween val="midCat"/>
        <c:dispUnits/>
      </c:valAx>
      <c:valAx>
        <c:axId val="6738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5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Расчёты!$A$70</c:f>
              <c:strCache>
                <c:ptCount val="1"/>
                <c:pt idx="0">
                  <c:v>(X)L=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Расчёты!$B$70:$IV$70</c:f>
              <c:numCache>
                <c:ptCount val="26"/>
                <c:pt idx="0">
                  <c:v>2.1828877173174135</c:v>
                </c:pt>
                <c:pt idx="1">
                  <c:v>2.334640946385182</c:v>
                </c:pt>
                <c:pt idx="2">
                  <c:v>2.4037526123916484</c:v>
                </c:pt>
                <c:pt idx="3">
                  <c:v>2.3817623581003082</c:v>
                </c:pt>
                <c:pt idx="4">
                  <c:v>2.273429660822555</c:v>
                </c:pt>
                <c:pt idx="5">
                  <c:v>2.0970030570697507</c:v>
                </c:pt>
                <c:pt idx="6">
                  <c:v>1.8834216692276862</c:v>
                </c:pt>
                <c:pt idx="7">
                  <c:v>1.6712773702105537</c:v>
                </c:pt>
                <c:pt idx="8">
                  <c:v>1.4943310250167947</c:v>
                </c:pt>
                <c:pt idx="9">
                  <c:v>1.367819944108409</c:v>
                </c:pt>
                <c:pt idx="10">
                  <c:v>1.287365718545303</c:v>
                </c:pt>
                <c:pt idx="11">
                  <c:v>1.239345310736669</c:v>
                </c:pt>
                <c:pt idx="12">
                  <c:v>1.2098171722792823</c:v>
                </c:pt>
                <c:pt idx="13">
                  <c:v>1.1878002949943893</c:v>
                </c:pt>
                <c:pt idx="14">
                  <c:v>1.1658875862024796</c:v>
                </c:pt>
                <c:pt idx="15">
                  <c:v>1.140858720435745</c:v>
                </c:pt>
                <c:pt idx="16">
                  <c:v>1.1152258438744005</c:v>
                </c:pt>
                <c:pt idx="17">
                  <c:v>1.0992172350971887</c:v>
                </c:pt>
                <c:pt idx="18">
                  <c:v>1.111107521682061</c:v>
                </c:pt>
                <c:pt idx="19">
                  <c:v>1.1728369072818177</c:v>
                </c:pt>
                <c:pt idx="20">
                  <c:v>1.3000897499022894</c:v>
                </c:pt>
                <c:pt idx="21">
                  <c:v>1.4917451284156342</c:v>
                </c:pt>
                <c:pt idx="22">
                  <c:v>1.726563194413758</c:v>
                </c:pt>
                <c:pt idx="23">
                  <c:v>1.9695703336890509</c:v>
                </c:pt>
                <c:pt idx="24">
                  <c:v>2.1828877173174135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Расчёты!$A$73</c:f>
              <c:strCache>
                <c:ptCount val="1"/>
                <c:pt idx="0">
                  <c:v>(X_t)L=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Расчёты!$B$73:$IV$73</c:f>
              <c:numCache>
                <c:ptCount val="26"/>
                <c:pt idx="0">
                  <c:v>0.7144562128371804</c:v>
                </c:pt>
                <c:pt idx="1">
                  <c:v>0.43133673580748927</c:v>
                </c:pt>
                <c:pt idx="2">
                  <c:v>0.0914606388585508</c:v>
                </c:pt>
                <c:pt idx="3">
                  <c:v>-0.2582191755440083</c:v>
                </c:pt>
                <c:pt idx="4">
                  <c:v>-0.568536341188045</c:v>
                </c:pt>
                <c:pt idx="5">
                  <c:v>-0.7881056684323443</c:v>
                </c:pt>
                <c:pt idx="6">
                  <c:v>-0.8708149132784654</c:v>
                </c:pt>
                <c:pt idx="7">
                  <c:v>-0.8012009026334215</c:v>
                </c:pt>
                <c:pt idx="8">
                  <c:v>-0.6239264163462103</c:v>
                </c:pt>
                <c:pt idx="9">
                  <c:v>-0.42363315397954937</c:v>
                </c:pt>
                <c:pt idx="10">
                  <c:v>-0.26269973833960564</c:v>
                </c:pt>
                <c:pt idx="11">
                  <c:v>-0.15931253580443494</c:v>
                </c:pt>
                <c:pt idx="12">
                  <c:v>-0.10770066261666496</c:v>
                </c:pt>
                <c:pt idx="13">
                  <c:v>-0.09575520184030499</c:v>
                </c:pt>
                <c:pt idx="14">
                  <c:v>-0.10882590706773851</c:v>
                </c:pt>
                <c:pt idx="15">
                  <c:v>-0.12585393887802304</c:v>
                </c:pt>
                <c:pt idx="16">
                  <c:v>-0.11393885505870074</c:v>
                </c:pt>
                <c:pt idx="17">
                  <c:v>-0.0284718949394906</c:v>
                </c:pt>
                <c:pt idx="18">
                  <c:v>0.17178767718484445</c:v>
                </c:pt>
                <c:pt idx="19">
                  <c:v>0.492811862826898</c:v>
                </c:pt>
                <c:pt idx="20">
                  <c:v>0.877906717621304</c:v>
                </c:pt>
                <c:pt idx="21">
                  <c:v>1.218780993638712</c:v>
                </c:pt>
                <c:pt idx="22">
                  <c:v>1.4061886937247083</c:v>
                </c:pt>
                <c:pt idx="23">
                  <c:v>1.3775648987767701</c:v>
                </c:pt>
                <c:pt idx="24">
                  <c:v>1.128854142045497</c:v>
                </c:pt>
              </c:numCache>
            </c:numRef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5212"/>
        <c:crosses val="autoZero"/>
        <c:auto val="1"/>
        <c:lblOffset val="100"/>
        <c:noMultiLvlLbl val="0"/>
      </c:catAx>
      <c:valAx>
        <c:axId val="8955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7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Расчёты!$A$71</c:f>
              <c:strCache>
                <c:ptCount val="1"/>
                <c:pt idx="0">
                  <c:v>(Y)L=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Расчёты!$B$71:$IV$71</c:f>
              <c:numCache>
                <c:ptCount val="26"/>
                <c:pt idx="0">
                  <c:v>-0.15507611969581955</c:v>
                </c:pt>
                <c:pt idx="1">
                  <c:v>-0.0407218593156255</c:v>
                </c:pt>
                <c:pt idx="2">
                  <c:v>0.011357516512898593</c:v>
                </c:pt>
                <c:pt idx="3">
                  <c:v>-0.005213328671131352</c:v>
                </c:pt>
                <c:pt idx="4">
                  <c:v>-0.08684787146334173</c:v>
                </c:pt>
                <c:pt idx="5">
                  <c:v>-0.21979485326714862</c:v>
                </c:pt>
                <c:pt idx="6">
                  <c:v>-0.38073997310211205</c:v>
                </c:pt>
                <c:pt idx="7">
                  <c:v>-0.5406021688326902</c:v>
                </c:pt>
                <c:pt idx="8">
                  <c:v>-0.6739408039043344</c:v>
                </c:pt>
                <c:pt idx="9">
                  <c:v>-0.769273741305731</c:v>
                </c:pt>
                <c:pt idx="10">
                  <c:v>-0.8299003488266931</c:v>
                </c:pt>
                <c:pt idx="11">
                  <c:v>-0.8660863216184771</c:v>
                </c:pt>
                <c:pt idx="12">
                  <c:v>-0.8883373699450371</c:v>
                </c:pt>
                <c:pt idx="13">
                  <c:v>-0.9049282769936843</c:v>
                </c:pt>
                <c:pt idx="14">
                  <c:v>-0.9214406874525508</c:v>
                </c:pt>
                <c:pt idx="15">
                  <c:v>-0.9403012906205529</c:v>
                </c:pt>
                <c:pt idx="16">
                  <c:v>-0.9596170485691393</c:v>
                </c:pt>
                <c:pt idx="17">
                  <c:v>-0.9716804005497182</c:v>
                </c:pt>
                <c:pt idx="18">
                  <c:v>-0.9627204269368049</c:v>
                </c:pt>
                <c:pt idx="19">
                  <c:v>-0.9162039984077511</c:v>
                </c:pt>
                <c:pt idx="20">
                  <c:v>-0.8203121034640011</c:v>
                </c:pt>
                <c:pt idx="21">
                  <c:v>-0.6758894167612862</c:v>
                </c:pt>
                <c:pt idx="22">
                  <c:v>-0.49894131209109466</c:v>
                </c:pt>
                <c:pt idx="23">
                  <c:v>-0.315822298086304</c:v>
                </c:pt>
                <c:pt idx="24">
                  <c:v>-0.15507611969581972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Расчёты!$A$74</c:f>
              <c:strCache>
                <c:ptCount val="1"/>
                <c:pt idx="0">
                  <c:v>(Y_t)L=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Расчёты!$B$74:$IV$74</c:f>
              <c:numCache>
                <c:ptCount val="26"/>
                <c:pt idx="0">
                  <c:v>0.5383813728045612</c:v>
                </c:pt>
                <c:pt idx="1">
                  <c:v>0.32503554422585235</c:v>
                </c:pt>
                <c:pt idx="2">
                  <c:v>0.06892053483685004</c:v>
                </c:pt>
                <c:pt idx="3">
                  <c:v>-0.1945821055453918</c:v>
                </c:pt>
                <c:pt idx="4">
                  <c:v>-0.4284228625328753</c:v>
                </c:pt>
                <c:pt idx="5">
                  <c:v>-0.5938802183561629</c:v>
                </c:pt>
                <c:pt idx="6">
                  <c:v>-0.6562061047909012</c:v>
                </c:pt>
                <c:pt idx="7">
                  <c:v>-0.6037481851254293</c:v>
                </c:pt>
                <c:pt idx="8">
                  <c:v>-0.47016227800380905</c:v>
                </c:pt>
                <c:pt idx="9">
                  <c:v>-0.31923047893911005</c:v>
                </c:pt>
                <c:pt idx="10">
                  <c:v>-0.19795845178675406</c:v>
                </c:pt>
                <c:pt idx="11">
                  <c:v>-0.12005060658757842</c:v>
                </c:pt>
                <c:pt idx="12">
                  <c:v>-0.08115827051354256</c:v>
                </c:pt>
                <c:pt idx="13">
                  <c:v>-0.07215672016517234</c:v>
                </c:pt>
                <c:pt idx="14">
                  <c:v>-0.08200620302700465</c:v>
                </c:pt>
                <c:pt idx="15">
                  <c:v>-0.09483774536292376</c:v>
                </c:pt>
                <c:pt idx="16">
                  <c:v>-0.08585908569355914</c:v>
                </c:pt>
                <c:pt idx="17">
                  <c:v>-0.021455111745754457</c:v>
                </c:pt>
                <c:pt idx="18">
                  <c:v>0.12945129990039098</c:v>
                </c:pt>
                <c:pt idx="19">
                  <c:v>0.37136037517191167</c:v>
                </c:pt>
                <c:pt idx="20">
                  <c:v>0.6615501626759835</c:v>
                </c:pt>
                <c:pt idx="21">
                  <c:v>0.9184173539447594</c:v>
                </c:pt>
                <c:pt idx="22">
                  <c:v>1.0596391853650116</c:v>
                </c:pt>
                <c:pt idx="23">
                  <c:v>1.038069608752681</c:v>
                </c:pt>
                <c:pt idx="24">
                  <c:v>0.8506526107136988</c:v>
                </c:pt>
              </c:numCache>
            </c:numRef>
          </c:val>
          <c:smooth val="0"/>
        </c:ser>
        <c:marker val="1"/>
        <c:axId val="13488045"/>
        <c:axId val="54283542"/>
      </c:lineChart>
      <c:catAx>
        <c:axId val="1348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Расчёты!$A$33</c:f>
              <c:strCache>
                <c:ptCount val="1"/>
                <c:pt idx="0">
                  <c:v>(X_t)A=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Расчёты!$B$33:$IV$33</c:f>
              <c:numCache>
                <c:ptCount val="26"/>
                <c:pt idx="0">
                  <c:v>-0.01745240643728351</c:v>
                </c:pt>
                <c:pt idx="1">
                  <c:v>-0.2756373558169992</c:v>
                </c:pt>
                <c:pt idx="2">
                  <c:v>-0.5163864414371012</c:v>
                </c:pt>
                <c:pt idx="3">
                  <c:v>-0.7249894819190977</c:v>
                </c:pt>
                <c:pt idx="4">
                  <c:v>-0.8883402646838093</c:v>
                </c:pt>
                <c:pt idx="5">
                  <c:v>-0.9955989284442153</c:v>
                </c:pt>
                <c:pt idx="6">
                  <c:v>-1.0388073782428489</c:v>
                </c:pt>
                <c:pt idx="7">
                  <c:v>-1.013433561437044</c:v>
                </c:pt>
                <c:pt idx="8">
                  <c:v>-0.9188087884530501</c:v>
                </c:pt>
                <c:pt idx="9">
                  <c:v>-0.7584132601380872</c:v>
                </c:pt>
                <c:pt idx="10">
                  <c:v>-0.539961552044438</c:v>
                </c:pt>
                <c:pt idx="11">
                  <c:v>-0.2752440092186521</c:v>
                </c:pt>
                <c:pt idx="12">
                  <c:v>0.020307543986742033</c:v>
                </c:pt>
                <c:pt idx="13">
                  <c:v>0.3283414864600014</c:v>
                </c:pt>
                <c:pt idx="14">
                  <c:v>0.6285819026004242</c:v>
                </c:pt>
                <c:pt idx="15">
                  <c:v>0.9000565466270737</c:v>
                </c:pt>
                <c:pt idx="16">
                  <c:v>1.1224888854317265</c:v>
                </c:pt>
                <c:pt idx="17">
                  <c:v>1.2777627686774584</c:v>
                </c:pt>
                <c:pt idx="18">
                  <c:v>1.3513519327760997</c:v>
                </c:pt>
                <c:pt idx="19">
                  <c:v>1.3335989997625919</c:v>
                </c:pt>
                <c:pt idx="20">
                  <c:v>1.2207310903490691</c:v>
                </c:pt>
                <c:pt idx="21">
                  <c:v>1.0155119006384798</c:v>
                </c:pt>
                <c:pt idx="22">
                  <c:v>0.7274524256690366</c:v>
                </c:pt>
                <c:pt idx="23">
                  <c:v>0.3725329171738343</c:v>
                </c:pt>
                <c:pt idx="24">
                  <c:v>-0.027575127686486317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Расчёты!$A$34</c:f>
              <c:strCache>
                <c:ptCount val="1"/>
                <c:pt idx="0">
                  <c:v>(Y_t)A=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Расчёты!$B$34:$IV$34</c:f>
              <c:numCache>
                <c:ptCount val="26"/>
                <c:pt idx="0">
                  <c:v>0.9998476951563913</c:v>
                </c:pt>
                <c:pt idx="1">
                  <c:v>0.9612616959383189</c:v>
                </c:pt>
                <c:pt idx="2">
                  <c:v>0.8594113594477651</c:v>
                </c:pt>
                <c:pt idx="3">
                  <c:v>0.700114204542469</c:v>
                </c:pt>
                <c:pt idx="4">
                  <c:v>0.49241504948418424</c:v>
                </c:pt>
                <c:pt idx="5">
                  <c:v>0.24823069246180693</c:v>
                </c:pt>
                <c:pt idx="6">
                  <c:v>-0.018132450235140343</c:v>
                </c:pt>
                <c:pt idx="7">
                  <c:v>-0.29059739751518765</c:v>
                </c:pt>
                <c:pt idx="8">
                  <c:v>-0.5520760173978629</c:v>
                </c:pt>
                <c:pt idx="9">
                  <c:v>-0.7853599212537229</c:v>
                </c:pt>
                <c:pt idx="10">
                  <c:v>-0.9741164258986426</c:v>
                </c:pt>
                <c:pt idx="11">
                  <c:v>-1.1039434242441348</c:v>
                </c:pt>
                <c:pt idx="12">
                  <c:v>-1.163418415815389</c:v>
                </c:pt>
                <c:pt idx="13">
                  <c:v>-1.1450628423928029</c:v>
                </c:pt>
                <c:pt idx="14">
                  <c:v>-1.0461359634747374</c:v>
                </c:pt>
                <c:pt idx="15">
                  <c:v>-0.8691745037693845</c:v>
                </c:pt>
                <c:pt idx="16">
                  <c:v>-0.6222057493499356</c:v>
                </c:pt>
                <c:pt idx="17">
                  <c:v>-0.3185820392217236</c:v>
                </c:pt>
                <c:pt idx="18">
                  <c:v>0.023587935727478894</c:v>
                </c:pt>
                <c:pt idx="19">
                  <c:v>0.38240335963448535</c:v>
                </c:pt>
                <c:pt idx="20">
                  <c:v>0.7334892386133307</c:v>
                </c:pt>
                <c:pt idx="21">
                  <c:v>1.0515933571262222</c:v>
                </c:pt>
                <c:pt idx="22">
                  <c:v>1.3123589155949789</c:v>
                </c:pt>
                <c:pt idx="23">
                  <c:v>1.4941479213153033</c:v>
                </c:pt>
                <c:pt idx="24">
                  <c:v>1.5797780071221155</c:v>
                </c:pt>
              </c:numCache>
            </c:numRef>
          </c:val>
          <c:smooth val="0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90752"/>
        <c:crosses val="autoZero"/>
        <c:auto val="1"/>
        <c:lblOffset val="100"/>
        <c:noMultiLvlLbl val="0"/>
      </c:catAx>
      <c:valAx>
        <c:axId val="34890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Расчёты!$A$35</c:f>
              <c:strCache>
                <c:ptCount val="1"/>
                <c:pt idx="0">
                  <c:v>(X_tt)A=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Расчёты!$B$35:$IV$35</c:f>
              <c:numCache>
                <c:ptCount val="26"/>
                <c:pt idx="0">
                  <c:v>-0.9998476951563913</c:v>
                </c:pt>
                <c:pt idx="1">
                  <c:v>-0.9640180694964889</c:v>
                </c:pt>
                <c:pt idx="2">
                  <c:v>-0.8719620546236768</c:v>
                </c:pt>
                <c:pt idx="3">
                  <c:v>-0.7271930826567897</c:v>
                </c:pt>
                <c:pt idx="4">
                  <c:v>-0.5351245768386754</c:v>
                </c:pt>
                <c:pt idx="5">
                  <c:v>-0.3032187953384084</c:v>
                </c:pt>
                <c:pt idx="6">
                  <c:v>-0.04115186934971333</c:v>
                </c:pt>
                <c:pt idx="7">
                  <c:v>0.23908106722003916</c:v>
                </c:pt>
                <c:pt idx="8">
                  <c:v>0.5232040860640996</c:v>
                </c:pt>
                <c:pt idx="9">
                  <c:v>0.7949200342127514</c:v>
                </c:pt>
                <c:pt idx="10">
                  <c:v>1.036450927183656</c:v>
                </c:pt>
                <c:pt idx="11">
                  <c:v>1.229388232551418</c:v>
                </c:pt>
                <c:pt idx="12">
                  <c:v>1.3558428814985641</c:v>
                </c:pt>
                <c:pt idx="13">
                  <c:v>1.3998411367992207</c:v>
                </c:pt>
                <c:pt idx="14">
                  <c:v>1.3488694501391782</c:v>
                </c:pt>
                <c:pt idx="15">
                  <c:v>1.1954345694855546</c:v>
                </c:pt>
                <c:pt idx="16">
                  <c:v>0.9384794014307039</c:v>
                </c:pt>
                <c:pt idx="17">
                  <c:v>0.5844845014998585</c:v>
                </c:pt>
                <c:pt idx="18">
                  <c:v>0.14809212704444083</c:v>
                </c:pt>
                <c:pt idx="19">
                  <c:v>-0.3478846293288709</c:v>
                </c:pt>
                <c:pt idx="20">
                  <c:v>-0.873162054968864</c:v>
                </c:pt>
                <c:pt idx="21">
                  <c:v>-1.3914321874638151</c:v>
                </c:pt>
                <c:pt idx="22">
                  <c:v>-1.8625245000394137</c:v>
                </c:pt>
                <c:pt idx="23">
                  <c:v>-2.245180229136454</c:v>
                </c:pt>
                <c:pt idx="24">
                  <c:v>-2.5002672942102473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Расчёты!$A$36</c:f>
              <c:strCache>
                <c:ptCount val="1"/>
                <c:pt idx="0">
                  <c:v>(Y_tt)A=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Расчёты!$B$36:$IV$36</c:f>
              <c:numCache>
                <c:ptCount val="26"/>
                <c:pt idx="0">
                  <c:v>-0.01745240643728351</c:v>
                </c:pt>
                <c:pt idx="1">
                  <c:v>-0.266024738857616</c:v>
                </c:pt>
                <c:pt idx="2">
                  <c:v>-0.5005949919654191</c:v>
                </c:pt>
                <c:pt idx="3">
                  <c:v>-0.709843784881145</c:v>
                </c:pt>
                <c:pt idx="4">
                  <c:v>-0.8828836780512901</c:v>
                </c:pt>
                <c:pt idx="5">
                  <c:v>-1.0094658883110583</c:v>
                </c:pt>
                <c:pt idx="6">
                  <c:v>-1.080332293833914</c:v>
                </c:pt>
                <c:pt idx="7">
                  <c:v>-1.0877316365700953</c:v>
                </c:pt>
                <c:pt idx="8">
                  <c:v>-1.0260861476312633</c:v>
                </c:pt>
                <c:pt idx="9">
                  <c:v>-0.8927600771000096</c:v>
                </c:pt>
                <c:pt idx="10">
                  <c:v>-0.688849537111847</c:v>
                </c:pt>
                <c:pt idx="11">
                  <c:v>-0.4198884119694414</c:v>
                </c:pt>
                <c:pt idx="12">
                  <c:v>-0.09635195383624942</c:v>
                </c:pt>
                <c:pt idx="13">
                  <c:v>0.2661590601105326</c:v>
                </c:pt>
                <c:pt idx="14">
                  <c:v>0.6471538571878457</c:v>
                </c:pt>
                <c:pt idx="15">
                  <c:v>1.0219752539116123</c:v>
                </c:pt>
                <c:pt idx="16">
                  <c:v>1.3630352031791622</c:v>
                </c:pt>
                <c:pt idx="17">
                  <c:v>1.6415331605082488</c:v>
                </c:pt>
                <c:pt idx="18">
                  <c:v>1.8295716535454896</c:v>
                </c:pt>
                <c:pt idx="19">
                  <c:v>1.9025293840349695</c:v>
                </c:pt>
                <c:pt idx="20">
                  <c:v>1.8415064981337665</c:v>
                </c:pt>
                <c:pt idx="21">
                  <c:v>1.635624798452562</c:v>
                </c:pt>
                <c:pt idx="22">
                  <c:v>1.28395208385652</c:v>
                </c:pt>
                <c:pt idx="23">
                  <c:v>0.7968274373040634</c:v>
                </c:pt>
                <c:pt idx="24">
                  <c:v>0.19639423077219978</c:v>
                </c:pt>
              </c:numCache>
            </c:numRef>
          </c:val>
          <c:smooth val="0"/>
        </c:ser>
        <c:marker val="1"/>
        <c:axId val="45581313"/>
        <c:axId val="7578634"/>
      </c:line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1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Расчёты!$A$57</c:f>
              <c:strCache>
                <c:ptCount val="1"/>
                <c:pt idx="0">
                  <c:v>(X_t)B=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Расчёты!$B$57:$IV$57</c:f>
              <c:numCache>
                <c:ptCount val="26"/>
                <c:pt idx="0">
                  <c:v>-0.17294679277980196</c:v>
                </c:pt>
                <c:pt idx="1">
                  <c:v>-0.5452804792920829</c:v>
                </c:pt>
                <c:pt idx="2">
                  <c:v>-0.9100411310072172</c:v>
                </c:pt>
                <c:pt idx="3">
                  <c:v>-1.228129447929733</c:v>
                </c:pt>
                <c:pt idx="4">
                  <c:v>-1.4528183929926786</c:v>
                </c:pt>
                <c:pt idx="5">
                  <c:v>-1.5321556224434751</c:v>
                </c:pt>
                <c:pt idx="6">
                  <c:v>-1.4221209784984756</c:v>
                </c:pt>
                <c:pt idx="7">
                  <c:v>-1.121298455026023</c:v>
                </c:pt>
                <c:pt idx="8">
                  <c:v>-0.7040767858692142</c:v>
                </c:pt>
                <c:pt idx="9">
                  <c:v>-0.28403717707803877</c:v>
                </c:pt>
                <c:pt idx="10">
                  <c:v>0.06835847891253466</c:v>
                </c:pt>
                <c:pt idx="11">
                  <c:v>0.34466302163917484</c:v>
                </c:pt>
                <c:pt idx="12">
                  <c:v>0.5641980867037508</c:v>
                </c:pt>
                <c:pt idx="13">
                  <c:v>0.7476822962407808</c:v>
                </c:pt>
                <c:pt idx="14">
                  <c:v>0.9088169458460563</c:v>
                </c:pt>
                <c:pt idx="15">
                  <c:v>1.053364629597543</c:v>
                </c:pt>
                <c:pt idx="16">
                  <c:v>1.1795957466931255</c:v>
                </c:pt>
                <c:pt idx="17">
                  <c:v>1.278598432535653</c:v>
                </c:pt>
                <c:pt idx="18">
                  <c:v>1.3347589570573473</c:v>
                </c:pt>
                <c:pt idx="19">
                  <c:v>1.3272176098901205</c:v>
                </c:pt>
                <c:pt idx="20">
                  <c:v>1.232946743086529</c:v>
                </c:pt>
                <c:pt idx="21">
                  <c:v>1.0314439959991095</c:v>
                </c:pt>
                <c:pt idx="22">
                  <c:v>0.7102056999240398</c:v>
                </c:pt>
                <c:pt idx="23">
                  <c:v>0.2696906898100641</c:v>
                </c:pt>
                <c:pt idx="24">
                  <c:v>-0.27325915832921055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Расчёты!$A$58</c:f>
              <c:strCache>
                <c:ptCount val="1"/>
                <c:pt idx="0">
                  <c:v>(Y_t)B=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Расчёты!$B$58:$IV$58</c:f>
              <c:numCache>
                <c:ptCount val="26"/>
                <c:pt idx="0">
                  <c:v>-0.06638805372288892</c:v>
                </c:pt>
                <c:pt idx="1">
                  <c:v>-0.20931356500710474</c:v>
                </c:pt>
                <c:pt idx="2">
                  <c:v>-0.34933206059662403</c:v>
                </c:pt>
                <c:pt idx="3">
                  <c:v>-0.47143472542812515</c:v>
                </c:pt>
                <c:pt idx="4">
                  <c:v>-0.5576847305078382</c:v>
                </c:pt>
                <c:pt idx="5">
                  <c:v>-0.5881394395333515</c:v>
                </c:pt>
                <c:pt idx="6">
                  <c:v>-0.5459010971149387</c:v>
                </c:pt>
                <c:pt idx="7">
                  <c:v>-0.4304261494252669</c:v>
                </c:pt>
                <c:pt idx="8">
                  <c:v>-0.2702697559985229</c:v>
                </c:pt>
                <c:pt idx="9">
                  <c:v>-0.10903165689324468</c:v>
                </c:pt>
                <c:pt idx="10">
                  <c:v>0.026240361544249025</c:v>
                </c:pt>
                <c:pt idx="11">
                  <c:v>0.1323037382139125</c:v>
                </c:pt>
                <c:pt idx="12">
                  <c:v>0.21657535412136353</c:v>
                </c:pt>
                <c:pt idx="13">
                  <c:v>0.2870083431595314</c:v>
                </c:pt>
                <c:pt idx="14">
                  <c:v>0.3488621399410303</c:v>
                </c:pt>
                <c:pt idx="15">
                  <c:v>0.40434879708089944</c:v>
                </c:pt>
                <c:pt idx="16">
                  <c:v>0.4528043830362374</c:v>
                </c:pt>
                <c:pt idx="17">
                  <c:v>0.49080795350309364</c:v>
                </c:pt>
                <c:pt idx="18">
                  <c:v>0.5123659590556966</c:v>
                </c:pt>
                <c:pt idx="19">
                  <c:v>0.509471107102482</c:v>
                </c:pt>
                <c:pt idx="20">
                  <c:v>0.47328391178496915</c:v>
                </c:pt>
                <c:pt idx="21">
                  <c:v>0.39593425421727135</c:v>
                </c:pt>
                <c:pt idx="22">
                  <c:v>0.27262242567799366</c:v>
                </c:pt>
                <c:pt idx="23">
                  <c:v>0.10352455640197555</c:v>
                </c:pt>
                <c:pt idx="24">
                  <c:v>-0.10489436312663236</c:v>
                </c:pt>
              </c:numCache>
            </c:numRef>
          </c:val>
          <c:smooth val="1"/>
        </c:ser>
        <c:marker val="1"/>
        <c:axId val="1098843"/>
        <c:axId val="9889588"/>
      </c:line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Расчёты!$A$59</c:f>
              <c:strCache>
                <c:ptCount val="1"/>
                <c:pt idx="0">
                  <c:v>(X_tt)B=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Расчёты!$B$59:$IV$59</c:f>
              <c:numCache>
                <c:ptCount val="26"/>
                <c:pt idx="0">
                  <c:v>-1.3951070331319524</c:v>
                </c:pt>
                <c:pt idx="1">
                  <c:v>-1.4329140859996574</c:v>
                </c:pt>
                <c:pt idx="2">
                  <c:v>-1.339482910426856</c:v>
                </c:pt>
                <c:pt idx="3">
                  <c:v>-1.082958531886518</c:v>
                </c:pt>
                <c:pt idx="4">
                  <c:v>-0.6302853956521907</c:v>
                </c:pt>
                <c:pt idx="5">
                  <c:v>0.03280952075590793</c:v>
                </c:pt>
                <c:pt idx="6">
                  <c:v>0.8322226497661775</c:v>
                </c:pt>
                <c:pt idx="7">
                  <c:v>1.5164881803429473</c:v>
                </c:pt>
                <c:pt idx="8">
                  <c:v>1.7838335608211122</c:v>
                </c:pt>
                <c:pt idx="9">
                  <c:v>1.6338726574061995</c:v>
                </c:pt>
                <c:pt idx="10">
                  <c:v>1.3282505780412648</c:v>
                </c:pt>
                <c:pt idx="11">
                  <c:v>1.0612158922104453</c:v>
                </c:pt>
                <c:pt idx="12">
                  <c:v>0.8830181918413141</c:v>
                </c:pt>
                <c:pt idx="13">
                  <c:v>0.7770469891996057</c:v>
                </c:pt>
                <c:pt idx="14">
                  <c:v>0.7110249546925693</c:v>
                </c:pt>
                <c:pt idx="15">
                  <c:v>0.6509220462349464</c:v>
                </c:pt>
                <c:pt idx="16">
                  <c:v>0.5612937679493744</c:v>
                </c:pt>
                <c:pt idx="17">
                  <c:v>0.4044450123257001</c:v>
                </c:pt>
                <c:pt idx="18">
                  <c:v>0.14312803482896672</c:v>
                </c:pt>
                <c:pt idx="19">
                  <c:v>-0.2518990009355732</c:v>
                </c:pt>
                <c:pt idx="20">
                  <c:v>-0.790966090591225</c:v>
                </c:pt>
                <c:pt idx="21">
                  <c:v>-1.455352229136384</c:v>
                </c:pt>
                <c:pt idx="22">
                  <c:v>-2.192468607090031</c:v>
                </c:pt>
                <c:pt idx="23">
                  <c:v>-2.918210683618403</c:v>
                </c:pt>
                <c:pt idx="24">
                  <c:v>-3.5243346546240724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Расчёты!$A$60</c:f>
              <c:strCache>
                <c:ptCount val="1"/>
                <c:pt idx="0">
                  <c:v>(Y_tt)B=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Расчёты!$B$60:$IV$60</c:f>
              <c:numCache>
                <c:ptCount val="26"/>
                <c:pt idx="0">
                  <c:v>-0.5355314150443189</c:v>
                </c:pt>
                <c:pt idx="1">
                  <c:v>-0.5500441829109133</c:v>
                </c:pt>
                <c:pt idx="2">
                  <c:v>-0.5141793148574354</c:v>
                </c:pt>
                <c:pt idx="3">
                  <c:v>-0.41570883182598883</c:v>
                </c:pt>
                <c:pt idx="4">
                  <c:v>-0.24194389519894338</c:v>
                </c:pt>
                <c:pt idx="5">
                  <c:v>0.012594395024941168</c:v>
                </c:pt>
                <c:pt idx="6">
                  <c:v>0.3194603443871105</c:v>
                </c:pt>
                <c:pt idx="7">
                  <c:v>0.5821252719899594</c:v>
                </c:pt>
                <c:pt idx="8">
                  <c:v>0.6847495484883863</c:v>
                </c:pt>
                <c:pt idx="9">
                  <c:v>0.6271849510059816</c:v>
                </c:pt>
                <c:pt idx="10">
                  <c:v>0.5098676264250435</c:v>
                </c:pt>
                <c:pt idx="11">
                  <c:v>0.40736261442761057</c:v>
                </c:pt>
                <c:pt idx="12">
                  <c:v>0.3389589261298837</c:v>
                </c:pt>
                <c:pt idx="13">
                  <c:v>0.2982803926862817</c:v>
                </c:pt>
                <c:pt idx="14">
                  <c:v>0.2729369081191633</c:v>
                </c:pt>
                <c:pt idx="15">
                  <c:v>0.24986556316125585</c:v>
                </c:pt>
                <c:pt idx="16">
                  <c:v>0.21546049060527894</c:v>
                </c:pt>
                <c:pt idx="17">
                  <c:v>0.15525189438129178</c:v>
                </c:pt>
                <c:pt idx="18">
                  <c:v>0.05494170497613654</c:v>
                </c:pt>
                <c:pt idx="19">
                  <c:v>-0.09669496692051924</c:v>
                </c:pt>
                <c:pt idx="20">
                  <c:v>-0.3036234351105368</c:v>
                </c:pt>
                <c:pt idx="21">
                  <c:v>-0.5586573790740794</c:v>
                </c:pt>
                <c:pt idx="22">
                  <c:v>-0.8416098462060565</c:v>
                </c:pt>
                <c:pt idx="23">
                  <c:v>-1.1201961280972195</c:v>
                </c:pt>
                <c:pt idx="24">
                  <c:v>-1.3528653213391448</c:v>
                </c:pt>
              </c:numCache>
            </c:numRef>
          </c:val>
          <c:smooth val="0"/>
        </c:ser>
        <c:marker val="1"/>
        <c:axId val="21897429"/>
        <c:axId val="62859134"/>
      </c:line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97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Расчёты!$A$73</c:f>
              <c:strCache>
                <c:ptCount val="1"/>
                <c:pt idx="0">
                  <c:v>(X_t)L=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Расчёты!$B$73:$IV$73</c:f>
              <c:numCache>
                <c:ptCount val="26"/>
                <c:pt idx="0">
                  <c:v>0.7144562128371804</c:v>
                </c:pt>
                <c:pt idx="1">
                  <c:v>0.43133673580748927</c:v>
                </c:pt>
                <c:pt idx="2">
                  <c:v>0.09586374201702404</c:v>
                </c:pt>
                <c:pt idx="3">
                  <c:v>-0.2789533954374125</c:v>
                </c:pt>
                <c:pt idx="4">
                  <c:v>-0.6203801935257172</c:v>
                </c:pt>
                <c:pt idx="5">
                  <c:v>-0.8524643375132258</c:v>
                </c:pt>
                <c:pt idx="6">
                  <c:v>-0.9159524261316744</c:v>
                </c:pt>
                <c:pt idx="7">
                  <c:v>-0.8023634547917322</c:v>
                </c:pt>
                <c:pt idx="8">
                  <c:v>-0.582541608334612</c:v>
                </c:pt>
                <c:pt idx="9">
                  <c:v>-0.3634117045139409</c:v>
                </c:pt>
                <c:pt idx="10">
                  <c:v>-0.20627165357621013</c:v>
                </c:pt>
                <c:pt idx="11">
                  <c:v>-0.11481517356111766</c:v>
                </c:pt>
                <c:pt idx="12">
                  <c:v>-0.07142645193860205</c:v>
                </c:pt>
                <c:pt idx="13">
                  <c:v>-0.0584800243618614</c:v>
                </c:pt>
                <c:pt idx="14">
                  <c:v>-0.061238239994114776</c:v>
                </c:pt>
                <c:pt idx="15">
                  <c:v>-0.06543269483254115</c:v>
                </c:pt>
                <c:pt idx="16">
                  <c:v>-0.055133326798713425</c:v>
                </c:pt>
                <c:pt idx="17">
                  <c:v>-0.013007578272001745</c:v>
                </c:pt>
                <c:pt idx="18">
                  <c:v>0.07586880023876609</c:v>
                </c:pt>
                <c:pt idx="19">
                  <c:v>0.21758643933123273</c:v>
                </c:pt>
                <c:pt idx="20">
                  <c:v>0.40319525041853405</c:v>
                </c:pt>
                <c:pt idx="21">
                  <c:v>0.6031377430464108</c:v>
                </c:pt>
                <c:pt idx="22">
                  <c:v>0.7637595348353672</c:v>
                </c:pt>
                <c:pt idx="23">
                  <c:v>0.8189099649097143</c:v>
                </c:pt>
                <c:pt idx="24">
                  <c:v>0.721312020740522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Расчёты!$A$74</c:f>
              <c:strCache>
                <c:ptCount val="1"/>
                <c:pt idx="0">
                  <c:v>(Y_t)L=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Расчёты!$B$74:$IV$74</c:f>
              <c:numCache>
                <c:ptCount val="26"/>
                <c:pt idx="0">
                  <c:v>0.5383813728045612</c:v>
                </c:pt>
                <c:pt idx="1">
                  <c:v>0.32503554422585235</c:v>
                </c:pt>
                <c:pt idx="2">
                  <c:v>0.07223851105493787</c:v>
                </c:pt>
                <c:pt idx="3">
                  <c:v>-0.21020646092178846</c:v>
                </c:pt>
                <c:pt idx="4">
                  <c:v>-0.4674900074348596</c:v>
                </c:pt>
                <c:pt idx="5">
                  <c:v>-0.6423779541012866</c:v>
                </c:pt>
                <c:pt idx="6">
                  <c:v>-0.6902196604130034</c:v>
                </c:pt>
                <c:pt idx="7">
                  <c:v>-0.60462423101278</c:v>
                </c:pt>
                <c:pt idx="8">
                  <c:v>-0.4389765883139426</c:v>
                </c:pt>
                <c:pt idx="9">
                  <c:v>-0.2738503617912402</c:v>
                </c:pt>
                <c:pt idx="10">
                  <c:v>-0.15543683997375368</c:v>
                </c:pt>
                <c:pt idx="11">
                  <c:v>-0.08651943905023544</c:v>
                </c:pt>
                <c:pt idx="12">
                  <c:v>-0.053823692142806134</c:v>
                </c:pt>
                <c:pt idx="13">
                  <c:v>-0.0440678592079907</c:v>
                </c:pt>
                <c:pt idx="14">
                  <c:v>-0.04614632376873205</c:v>
                </c:pt>
                <c:pt idx="15">
                  <c:v>-0.0493070722002015</c:v>
                </c:pt>
                <c:pt idx="16">
                  <c:v>-0.041545941704811476</c:v>
                </c:pt>
                <c:pt idx="17">
                  <c:v>-0.009801913288896017</c:v>
                </c:pt>
                <c:pt idx="18">
                  <c:v>0.057171241696362035</c:v>
                </c:pt>
                <c:pt idx="19">
                  <c:v>0.16396314260549635</c:v>
                </c:pt>
                <c:pt idx="20">
                  <c:v>0.30382941393509666</c:v>
                </c:pt>
                <c:pt idx="21">
                  <c:v>0.45449688904248137</c:v>
                </c:pt>
                <c:pt idx="22">
                  <c:v>0.5755340907798171</c:v>
                </c:pt>
                <c:pt idx="23">
                  <c:v>0.6170929207272524</c:v>
                </c:pt>
                <c:pt idx="24">
                  <c:v>0.5435475946168508</c:v>
                </c:pt>
              </c:numCache>
            </c:numRef>
          </c:val>
          <c:smooth val="0"/>
        </c:ser>
        <c:marker val="1"/>
        <c:axId val="28861295"/>
        <c:axId val="58425064"/>
      </c:line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Расчёты!$A$272:$A$282</c:f>
              <c:strCache/>
            </c:strRef>
          </c:cat>
          <c:val>
            <c:numRef>
              <c:f>Расчёты!$B$272:$B$282</c:f>
              <c:numCache/>
            </c:numRef>
          </c:val>
        </c:ser>
        <c:overlap val="100"/>
        <c:axId val="19127739"/>
        <c:axId val="37931924"/>
      </c:bar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1924"/>
        <c:crosses val="autoZero"/>
        <c:auto val="1"/>
        <c:lblOffset val="100"/>
        <c:noMultiLvlLbl val="0"/>
      </c:catAx>
      <c:valAx>
        <c:axId val="3793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25"/>
          <c:w val="0.9392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Расчёты!$A$80</c:f>
              <c:strCache>
                <c:ptCount val="1"/>
                <c:pt idx="0">
                  <c:v>Численно (X_tt)L=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Расчёты!$B$80:$IV$80</c:f>
              <c:numCache>
                <c:ptCount val="26"/>
                <c:pt idx="0">
                  <c:v>-1.081436742116824</c:v>
                </c:pt>
                <c:pt idx="1">
                  <c:v>-1.081436742116824</c:v>
                </c:pt>
                <c:pt idx="2">
                  <c:v>-1.2814124456541423</c:v>
                </c:pt>
                <c:pt idx="3">
                  <c:v>-1.5045494090055964</c:v>
                </c:pt>
                <c:pt idx="4">
                  <c:v>-1.4199392246042113</c:v>
                </c:pt>
                <c:pt idx="5">
                  <c:v>-0.9825092005723399</c:v>
                </c:pt>
                <c:pt idx="6">
                  <c:v>-0.26915081303128907</c:v>
                </c:pt>
                <c:pt idx="7">
                  <c:v>0.4741500220075336</c:v>
                </c:pt>
                <c:pt idx="8">
                  <c:v>0.8865139626739308</c:v>
                </c:pt>
                <c:pt idx="9">
                  <c:v>0.8376954254681582</c:v>
                </c:pt>
                <c:pt idx="10">
                  <c:v>0.5621625064694941</c:v>
                </c:pt>
                <c:pt idx="11">
                  <c:v>0.30550433235921615</c:v>
                </c:pt>
                <c:pt idx="12">
                  <c:v>0.13589399385570572</c:v>
                </c:pt>
                <c:pt idx="13">
                  <c:v>0.03816138302970834</c:v>
                </c:pt>
                <c:pt idx="14">
                  <c:v>-0.00766465202330831</c:v>
                </c:pt>
                <c:pt idx="15">
                  <c:v>-0.011003221052197606</c:v>
                </c:pt>
                <c:pt idx="16">
                  <c:v>0.025592083877898464</c:v>
                </c:pt>
                <c:pt idx="17">
                  <c:v>0.09992729765611001</c:v>
                </c:pt>
                <c:pt idx="18">
                  <c:v>0.20424146160033327</c:v>
                </c:pt>
                <c:pt idx="19">
                  <c:v>0.3231179674555052</c:v>
                </c:pt>
                <c:pt idx="20">
                  <c:v>0.4342744291495943</c:v>
                </c:pt>
                <c:pt idx="21">
                  <c:v>0.49952579671194264</c:v>
                </c:pt>
                <c:pt idx="22">
                  <c:v>0.44385428524857645</c:v>
                </c:pt>
                <c:pt idx="23">
                  <c:v>0.17168276038652022</c:v>
                </c:pt>
                <c:pt idx="24">
                  <c:v>-0.3412601734435523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Расчёты!$A$81</c:f>
              <c:strCache>
                <c:ptCount val="1"/>
                <c:pt idx="0">
                  <c:v>Численно (Y_tt)L=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Расчёты!$B$81:$IV$81</c:f>
              <c:numCache>
                <c:ptCount val="26"/>
                <c:pt idx="0">
                  <c:v>-0.8149210369521042</c:v>
                </c:pt>
                <c:pt idx="1">
                  <c:v>-0.8149210369521042</c:v>
                </c:pt>
                <c:pt idx="2">
                  <c:v>-0.9656135382748051</c:v>
                </c:pt>
                <c:pt idx="3">
                  <c:v>-1.1337593007359328</c:v>
                </c:pt>
                <c:pt idx="4">
                  <c:v>-1.0700009536003252</c:v>
                </c:pt>
                <c:pt idx="5">
                  <c:v>-0.7403737873545446</c:v>
                </c:pt>
                <c:pt idx="6">
                  <c:v>-0.20281968524818683</c:v>
                </c:pt>
                <c:pt idx="7">
                  <c:v>0.3572976694401052</c:v>
                </c:pt>
                <c:pt idx="8">
                  <c:v>0.6680361870456173</c:v>
                </c:pt>
                <c:pt idx="9">
                  <c:v>0.6312487806141136</c:v>
                </c:pt>
                <c:pt idx="10">
                  <c:v>0.42361983356602606</c:v>
                </c:pt>
                <c:pt idx="11">
                  <c:v>0.23021402697323765</c:v>
                </c:pt>
                <c:pt idx="12">
                  <c:v>0.10240346945461125</c:v>
                </c:pt>
                <c:pt idx="13">
                  <c:v>0.02875666473956081</c:v>
                </c:pt>
                <c:pt idx="14">
                  <c:v>-0.005775729574792499</c:v>
                </c:pt>
                <c:pt idx="15">
                  <c:v>-0.008291521788059825</c:v>
                </c:pt>
                <c:pt idx="16">
                  <c:v>0.019285018456760547</c:v>
                </c:pt>
                <c:pt idx="17">
                  <c:v>0.0753006198645893</c:v>
                </c:pt>
                <c:pt idx="18">
                  <c:v>0.15390698058784547</c:v>
                </c:pt>
                <c:pt idx="19">
                  <c:v>0.24348685303707873</c:v>
                </c:pt>
                <c:pt idx="20">
                  <c:v>0.3272492549417557</c:v>
                </c:pt>
                <c:pt idx="21">
                  <c:v>0.37641968724310976</c:v>
                </c:pt>
                <c:pt idx="22">
                  <c:v>0.3344681943045454</c:v>
                </c:pt>
                <c:pt idx="23">
                  <c:v>0.12937223942209006</c:v>
                </c:pt>
                <c:pt idx="24">
                  <c:v>-0.25715798583717225</c:v>
                </c:pt>
              </c:numCache>
            </c:numRef>
          </c:val>
          <c:smooth val="0"/>
        </c:ser>
        <c:marker val="1"/>
        <c:axId val="56063529"/>
        <c:axId val="34809714"/>
      </c:line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63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75"/>
          <c:y val="0"/>
          <c:w val="0.8985"/>
          <c:h val="0.99675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Расчёты!$B$31:$Z$31</c:f>
              <c:numCache>
                <c:ptCount val="25"/>
                <c:pt idx="0">
                  <c:v>0.9998476951563913</c:v>
                </c:pt>
                <c:pt idx="1">
                  <c:v>0.9612616959383189</c:v>
                </c:pt>
                <c:pt idx="2">
                  <c:v>0.8571673007021124</c:v>
                </c:pt>
                <c:pt idx="3">
                  <c:v>0.6946583704589974</c:v>
                </c:pt>
                <c:pt idx="4">
                  <c:v>0.48480962024633717</c:v>
                </c:pt>
                <c:pt idx="5">
                  <c:v>0.24192189559966773</c:v>
                </c:pt>
                <c:pt idx="6">
                  <c:v>-0.01745240643728345</c:v>
                </c:pt>
                <c:pt idx="7">
                  <c:v>-0.2756373558169991</c:v>
                </c:pt>
                <c:pt idx="8">
                  <c:v>-0.5150380749100545</c:v>
                </c:pt>
                <c:pt idx="9">
                  <c:v>-0.7193398003386514</c:v>
                </c:pt>
                <c:pt idx="10">
                  <c:v>-0.8746197071393959</c:v>
                </c:pt>
                <c:pt idx="11">
                  <c:v>-0.9702957262759966</c:v>
                </c:pt>
                <c:pt idx="12">
                  <c:v>-0.9998476951563913</c:v>
                </c:pt>
                <c:pt idx="13">
                  <c:v>-0.9612616959383189</c:v>
                </c:pt>
                <c:pt idx="14">
                  <c:v>-0.8571673007021123</c:v>
                </c:pt>
                <c:pt idx="15">
                  <c:v>-0.6946583704589971</c:v>
                </c:pt>
                <c:pt idx="16">
                  <c:v>-0.48480962024633667</c:v>
                </c:pt>
                <c:pt idx="17">
                  <c:v>-0.24192189559966762</c:v>
                </c:pt>
                <c:pt idx="18">
                  <c:v>0.017452406437283328</c:v>
                </c:pt>
                <c:pt idx="19">
                  <c:v>0.27563735581699955</c:v>
                </c:pt>
                <c:pt idx="20">
                  <c:v>0.5150380749100544</c:v>
                </c:pt>
                <c:pt idx="21">
                  <c:v>0.719339800338651</c:v>
                </c:pt>
                <c:pt idx="22">
                  <c:v>0.874619707139396</c:v>
                </c:pt>
                <c:pt idx="23">
                  <c:v>0.9702957262759966</c:v>
                </c:pt>
                <c:pt idx="24">
                  <c:v>0.9998476951563913</c:v>
                </c:pt>
              </c:numCache>
            </c:numRef>
          </c:xVal>
          <c:yVal>
            <c:numRef>
              <c:f>Расчёты!$B$32:$Z$32</c:f>
              <c:numCache>
                <c:ptCount val="25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0.8571673007021121</c:v>
                </c:pt>
                <c:pt idx="9">
                  <c:v>0.694658370458997</c:v>
                </c:pt>
                <c:pt idx="10">
                  <c:v>0.484809620246337</c:v>
                </c:pt>
                <c:pt idx="11">
                  <c:v>0.24192189559966756</c:v>
                </c:pt>
                <c:pt idx="12">
                  <c:v>-0.017452406437283834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-0.7193398003386513</c:v>
                </c:pt>
                <c:pt idx="16">
                  <c:v>-0.874619707139396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-0.9612616959383188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-0.4848096202463367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yVal>
          <c:smooth val="1"/>
        </c:ser>
        <c:axId val="44851971"/>
        <c:axId val="1014556"/>
      </c:scatterChart>
      <c:val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crossBetween val="midCat"/>
        <c:dispUnits/>
      </c:valAx>
      <c:valAx>
        <c:axId val="1014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5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55"/>
          <c:w val="0.9317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Расчёты!$B$54:$Z$54</c:f>
              <c:numCache>
                <c:ptCount val="25"/>
                <c:pt idx="0">
                  <c:v>4.631432921986749</c:v>
                </c:pt>
                <c:pt idx="1">
                  <c:v>4.537604858828092</c:v>
                </c:pt>
                <c:pt idx="2">
                  <c:v>4.346771686068345</c:v>
                </c:pt>
                <c:pt idx="3">
                  <c:v>4.066827921095048</c:v>
                </c:pt>
                <c:pt idx="4">
                  <c:v>3.7173716149467757</c:v>
                </c:pt>
                <c:pt idx="5">
                  <c:v>3.3309100311040947</c:v>
                </c:pt>
                <c:pt idx="6">
                  <c:v>2.951995142655963</c:v>
                </c:pt>
                <c:pt idx="7">
                  <c:v>2.6302336807527946</c:v>
                </c:pt>
                <c:pt idx="8">
                  <c:v>2.4040841287080514</c:v>
                </c:pt>
                <c:pt idx="9">
                  <c:v>2.2852650131128263</c:v>
                </c:pt>
                <c:pt idx="10">
                  <c:v>2.261113990536088</c:v>
                </c:pt>
                <c:pt idx="11">
                  <c:v>2.31035677148956</c:v>
                </c:pt>
                <c:pt idx="12">
                  <c:v>2.41453452891327</c:v>
                </c:pt>
                <c:pt idx="13">
                  <c:v>2.5608432614791785</c:v>
                </c:pt>
                <c:pt idx="14">
                  <c:v>2.7409496816786056</c:v>
                </c:pt>
                <c:pt idx="15">
                  <c:v>2.949035119673687</c:v>
                </c:pt>
                <c:pt idx="16">
                  <c:v>3.180023009876076</c:v>
                </c:pt>
                <c:pt idx="17">
                  <c:v>3.4280761483352533</c:v>
                </c:pt>
                <c:pt idx="18">
                  <c:v>3.6853394716133305</c:v>
                </c:pt>
                <c:pt idx="19">
                  <c:v>3.941018063823072</c:v>
                </c:pt>
                <c:pt idx="20">
                  <c:v>4.181000506332024</c:v>
                </c:pt>
                <c:pt idx="21">
                  <c:v>4.388256788011468</c:v>
                </c:pt>
                <c:pt idx="22">
                  <c:v>4.544114914282097</c:v>
                </c:pt>
                <c:pt idx="23">
                  <c:v>4.630300721872826</c:v>
                </c:pt>
                <c:pt idx="24">
                  <c:v>4.631432921986749</c:v>
                </c:pt>
              </c:numCache>
            </c:numRef>
          </c:xVal>
          <c:yVal>
            <c:numRef>
              <c:f>Расчёты!$B$55:$Z$55</c:f>
              <c:numCache>
                <c:ptCount val="25"/>
                <c:pt idx="0">
                  <c:v>-0.5121594705703002</c:v>
                </c:pt>
                <c:pt idx="1">
                  <c:v>-0.5481766894939408</c:v>
                </c:pt>
                <c:pt idx="2">
                  <c:v>-0.6214306812081076</c:v>
                </c:pt>
                <c:pt idx="3">
                  <c:v>-0.7288910244137634</c:v>
                </c:pt>
                <c:pt idx="4">
                  <c:v>-0.8630347321604112</c:v>
                </c:pt>
                <c:pt idx="5">
                  <c:v>-1.0113834351204405</c:v>
                </c:pt>
                <c:pt idx="6">
                  <c:v>-1.1568352331351344</c:v>
                </c:pt>
                <c:pt idx="7">
                  <c:v>-1.280347886220179</c:v>
                </c:pt>
                <c:pt idx="8">
                  <c:v>-1.3671585657895258</c:v>
                </c:pt>
                <c:pt idx="9">
                  <c:v>-1.412768950941248</c:v>
                </c:pt>
                <c:pt idx="10">
                  <c:v>-1.4220396599177865</c:v>
                </c:pt>
                <c:pt idx="11">
                  <c:v>-1.4031371273246214</c:v>
                </c:pt>
                <c:pt idx="12">
                  <c:v>-1.363147032999016</c:v>
                </c:pt>
                <c:pt idx="13">
                  <c:v>-1.3069843725553483</c:v>
                </c:pt>
                <c:pt idx="14">
                  <c:v>-1.237847995361812</c:v>
                </c:pt>
                <c:pt idx="15">
                  <c:v>-1.1579714795009082</c:v>
                </c:pt>
                <c:pt idx="16">
                  <c:v>-1.0693035359235017</c:v>
                </c:pt>
                <c:pt idx="17">
                  <c:v>-0.9740848572913633</c:v>
                </c:pt>
                <c:pt idx="18">
                  <c:v>-0.8753307199512201</c:v>
                </c:pt>
                <c:pt idx="19">
                  <c:v>-0.7771849038734138</c:v>
                </c:pt>
                <c:pt idx="20">
                  <c:v>-0.6850642751542728</c:v>
                </c:pt>
                <c:pt idx="21">
                  <c:v>-0.6055060425823645</c:v>
                </c:pt>
                <c:pt idx="22">
                  <c:v>-0.5456777133390618</c:v>
                </c:pt>
                <c:pt idx="23">
                  <c:v>-0.5125940814744991</c:v>
                </c:pt>
                <c:pt idx="24">
                  <c:v>-0.5121594705703004</c:v>
                </c:pt>
              </c:numCache>
            </c:numRef>
          </c:yVal>
          <c:smooth val="0"/>
        </c:ser>
        <c:axId val="9131005"/>
        <c:axId val="15070182"/>
      </c:scatterChart>
      <c:val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0182"/>
        <c:crosses val="autoZero"/>
        <c:crossBetween val="midCat"/>
        <c:dispUnits/>
      </c:valAx>
      <c:valAx>
        <c:axId val="1507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5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175"/>
          <c:w val="0.89575"/>
          <c:h val="0.91625"/>
        </c:manualLayout>
      </c:layout>
      <c:scatterChart>
        <c:scatterStyle val="smoothMarker"/>
        <c:varyColors val="0"/>
        <c:ser>
          <c:idx val="0"/>
          <c:order val="0"/>
          <c:tx>
            <c:v>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Расчёты!$B$70:$Z$70</c:f>
              <c:numCache>
                <c:ptCount val="25"/>
                <c:pt idx="0">
                  <c:v>2.1828877173174135</c:v>
                </c:pt>
                <c:pt idx="1">
                  <c:v>2.334640946385182</c:v>
                </c:pt>
                <c:pt idx="2">
                  <c:v>2.4037526123916484</c:v>
                </c:pt>
                <c:pt idx="3">
                  <c:v>2.3817623581003082</c:v>
                </c:pt>
                <c:pt idx="4">
                  <c:v>2.273429660822555</c:v>
                </c:pt>
                <c:pt idx="5">
                  <c:v>2.0970030570697507</c:v>
                </c:pt>
                <c:pt idx="6">
                  <c:v>1.8834216692276862</c:v>
                </c:pt>
                <c:pt idx="7">
                  <c:v>1.6712773702105537</c:v>
                </c:pt>
                <c:pt idx="8">
                  <c:v>1.4943310250167947</c:v>
                </c:pt>
                <c:pt idx="9">
                  <c:v>1.367819944108409</c:v>
                </c:pt>
                <c:pt idx="10">
                  <c:v>1.287365718545303</c:v>
                </c:pt>
                <c:pt idx="11">
                  <c:v>1.239345310736669</c:v>
                </c:pt>
                <c:pt idx="12">
                  <c:v>1.2098171722792823</c:v>
                </c:pt>
                <c:pt idx="13">
                  <c:v>1.1878002949943893</c:v>
                </c:pt>
                <c:pt idx="14">
                  <c:v>1.1658875862024796</c:v>
                </c:pt>
                <c:pt idx="15">
                  <c:v>1.140858720435745</c:v>
                </c:pt>
                <c:pt idx="16">
                  <c:v>1.1152258438744005</c:v>
                </c:pt>
                <c:pt idx="17">
                  <c:v>1.0992172350971887</c:v>
                </c:pt>
                <c:pt idx="18">
                  <c:v>1.111107521682061</c:v>
                </c:pt>
                <c:pt idx="19">
                  <c:v>1.1728369072818177</c:v>
                </c:pt>
                <c:pt idx="20">
                  <c:v>1.3000897499022894</c:v>
                </c:pt>
                <c:pt idx="21">
                  <c:v>1.4917451284156342</c:v>
                </c:pt>
                <c:pt idx="22">
                  <c:v>1.726563194413758</c:v>
                </c:pt>
                <c:pt idx="23">
                  <c:v>1.9695703336890509</c:v>
                </c:pt>
                <c:pt idx="24">
                  <c:v>2.1828877173174135</c:v>
                </c:pt>
              </c:numCache>
            </c:numRef>
          </c:xVal>
          <c:yVal>
            <c:numRef>
              <c:f>Расчёты!$B$71:$Z$71</c:f>
              <c:numCache>
                <c:ptCount val="25"/>
                <c:pt idx="0">
                  <c:v>-0.15507611969581955</c:v>
                </c:pt>
                <c:pt idx="1">
                  <c:v>-0.0407218593156255</c:v>
                </c:pt>
                <c:pt idx="2">
                  <c:v>0.011357516512898593</c:v>
                </c:pt>
                <c:pt idx="3">
                  <c:v>-0.005213328671131352</c:v>
                </c:pt>
                <c:pt idx="4">
                  <c:v>-0.08684787146334173</c:v>
                </c:pt>
                <c:pt idx="5">
                  <c:v>-0.21979485326714862</c:v>
                </c:pt>
                <c:pt idx="6">
                  <c:v>-0.38073997310211205</c:v>
                </c:pt>
                <c:pt idx="7">
                  <c:v>-0.5406021688326902</c:v>
                </c:pt>
                <c:pt idx="8">
                  <c:v>-0.6739408039043344</c:v>
                </c:pt>
                <c:pt idx="9">
                  <c:v>-0.769273741305731</c:v>
                </c:pt>
                <c:pt idx="10">
                  <c:v>-0.8299003488266931</c:v>
                </c:pt>
                <c:pt idx="11">
                  <c:v>-0.8660863216184771</c:v>
                </c:pt>
                <c:pt idx="12">
                  <c:v>-0.8883373699450371</c:v>
                </c:pt>
                <c:pt idx="13">
                  <c:v>-0.9049282769936843</c:v>
                </c:pt>
                <c:pt idx="14">
                  <c:v>-0.9214406874525508</c:v>
                </c:pt>
                <c:pt idx="15">
                  <c:v>-0.9403012906205529</c:v>
                </c:pt>
                <c:pt idx="16">
                  <c:v>-0.9596170485691393</c:v>
                </c:pt>
                <c:pt idx="17">
                  <c:v>-0.9716804005497182</c:v>
                </c:pt>
                <c:pt idx="18">
                  <c:v>-0.9627204269368049</c:v>
                </c:pt>
                <c:pt idx="19">
                  <c:v>-0.9162039984077511</c:v>
                </c:pt>
                <c:pt idx="20">
                  <c:v>-0.8203121034640011</c:v>
                </c:pt>
                <c:pt idx="21">
                  <c:v>-0.6758894167612862</c:v>
                </c:pt>
                <c:pt idx="22">
                  <c:v>-0.49894131209109466</c:v>
                </c:pt>
                <c:pt idx="23">
                  <c:v>-0.315822298086304</c:v>
                </c:pt>
                <c:pt idx="24">
                  <c:v>-0.15507611969581972</c:v>
                </c:pt>
              </c:numCache>
            </c:numRef>
          </c:yVal>
          <c:smooth val="1"/>
        </c:ser>
        <c:axId val="1413911"/>
        <c:axId val="12725200"/>
      </c:scatterChart>
      <c:valAx>
        <c:axId val="141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25200"/>
        <c:crosses val="autoZero"/>
        <c:crossBetween val="midCat"/>
        <c:dispUnits/>
      </c:valAx>
      <c:valAx>
        <c:axId val="12725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3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5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Расчёты!$B$31:$IV$31</c:f>
              <c:numCache>
                <c:ptCount val="26"/>
                <c:pt idx="0">
                  <c:v>0.9998476951563913</c:v>
                </c:pt>
                <c:pt idx="1">
                  <c:v>0.9612616959383189</c:v>
                </c:pt>
                <c:pt idx="2">
                  <c:v>0.8571673007021124</c:v>
                </c:pt>
                <c:pt idx="3">
                  <c:v>0.6946583704589974</c:v>
                </c:pt>
                <c:pt idx="4">
                  <c:v>0.48480962024633717</c:v>
                </c:pt>
                <c:pt idx="5">
                  <c:v>0.24192189559966773</c:v>
                </c:pt>
                <c:pt idx="6">
                  <c:v>-0.01745240643728345</c:v>
                </c:pt>
                <c:pt idx="7">
                  <c:v>-0.2756373558169991</c:v>
                </c:pt>
                <c:pt idx="8">
                  <c:v>-0.5150380749100545</c:v>
                </c:pt>
                <c:pt idx="9">
                  <c:v>-0.7193398003386514</c:v>
                </c:pt>
                <c:pt idx="10">
                  <c:v>-0.8746197071393959</c:v>
                </c:pt>
                <c:pt idx="11">
                  <c:v>-0.9702957262759966</c:v>
                </c:pt>
                <c:pt idx="12">
                  <c:v>-0.9998476951563913</c:v>
                </c:pt>
                <c:pt idx="13">
                  <c:v>-0.9612616959383189</c:v>
                </c:pt>
                <c:pt idx="14">
                  <c:v>-0.8571673007021123</c:v>
                </c:pt>
                <c:pt idx="15">
                  <c:v>-0.6946583704589971</c:v>
                </c:pt>
                <c:pt idx="16">
                  <c:v>-0.48480962024633667</c:v>
                </c:pt>
                <c:pt idx="17">
                  <c:v>-0.24192189559966762</c:v>
                </c:pt>
                <c:pt idx="18">
                  <c:v>0.017452406437283328</c:v>
                </c:pt>
                <c:pt idx="19">
                  <c:v>0.27563735581699955</c:v>
                </c:pt>
                <c:pt idx="20">
                  <c:v>0.5150380749100544</c:v>
                </c:pt>
                <c:pt idx="21">
                  <c:v>0.719339800338651</c:v>
                </c:pt>
                <c:pt idx="22">
                  <c:v>0.874619707139396</c:v>
                </c:pt>
                <c:pt idx="23">
                  <c:v>0.9702957262759966</c:v>
                </c:pt>
                <c:pt idx="24">
                  <c:v>0.9998476951563913</c:v>
                </c:pt>
              </c:numCache>
            </c:numRef>
          </c:xVal>
          <c:yVal>
            <c:numRef>
              <c:f>Расчёты!$B$32:$IV$32</c:f>
              <c:numCache>
                <c:ptCount val="26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0.8571673007021121</c:v>
                </c:pt>
                <c:pt idx="9">
                  <c:v>0.694658370458997</c:v>
                </c:pt>
                <c:pt idx="10">
                  <c:v>0.484809620246337</c:v>
                </c:pt>
                <c:pt idx="11">
                  <c:v>0.24192189559966756</c:v>
                </c:pt>
                <c:pt idx="12">
                  <c:v>-0.017452406437283834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-0.7193398003386513</c:v>
                </c:pt>
                <c:pt idx="16">
                  <c:v>-0.874619707139396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-0.9612616959383188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-0.4848096202463367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yVal>
          <c:smooth val="1"/>
        </c:ser>
        <c:ser>
          <c:idx val="1"/>
          <c:order val="1"/>
          <c:tx>
            <c:v>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Расчёты!$B$70:$Z$70</c:f>
              <c:numCache>
                <c:ptCount val="25"/>
                <c:pt idx="0">
                  <c:v>2.1828877173174135</c:v>
                </c:pt>
                <c:pt idx="1">
                  <c:v>2.334640946385182</c:v>
                </c:pt>
                <c:pt idx="2">
                  <c:v>2.4037526123916484</c:v>
                </c:pt>
                <c:pt idx="3">
                  <c:v>2.3817623581003082</c:v>
                </c:pt>
                <c:pt idx="4">
                  <c:v>2.273429660822555</c:v>
                </c:pt>
                <c:pt idx="5">
                  <c:v>2.0970030570697507</c:v>
                </c:pt>
                <c:pt idx="6">
                  <c:v>1.8834216692276862</c:v>
                </c:pt>
                <c:pt idx="7">
                  <c:v>1.6712773702105537</c:v>
                </c:pt>
                <c:pt idx="8">
                  <c:v>1.4943310250167947</c:v>
                </c:pt>
                <c:pt idx="9">
                  <c:v>1.367819944108409</c:v>
                </c:pt>
                <c:pt idx="10">
                  <c:v>1.287365718545303</c:v>
                </c:pt>
                <c:pt idx="11">
                  <c:v>1.239345310736669</c:v>
                </c:pt>
                <c:pt idx="12">
                  <c:v>1.2098171722792823</c:v>
                </c:pt>
                <c:pt idx="13">
                  <c:v>1.1878002949943893</c:v>
                </c:pt>
                <c:pt idx="14">
                  <c:v>1.1658875862024796</c:v>
                </c:pt>
                <c:pt idx="15">
                  <c:v>1.140858720435745</c:v>
                </c:pt>
                <c:pt idx="16">
                  <c:v>1.1152258438744005</c:v>
                </c:pt>
                <c:pt idx="17">
                  <c:v>1.0992172350971887</c:v>
                </c:pt>
                <c:pt idx="18">
                  <c:v>1.111107521682061</c:v>
                </c:pt>
                <c:pt idx="19">
                  <c:v>1.1728369072818177</c:v>
                </c:pt>
                <c:pt idx="20">
                  <c:v>1.3000897499022894</c:v>
                </c:pt>
                <c:pt idx="21">
                  <c:v>1.4917451284156342</c:v>
                </c:pt>
                <c:pt idx="22">
                  <c:v>1.726563194413758</c:v>
                </c:pt>
                <c:pt idx="23">
                  <c:v>1.9695703336890509</c:v>
                </c:pt>
                <c:pt idx="24">
                  <c:v>2.1828877173174135</c:v>
                </c:pt>
              </c:numCache>
            </c:numRef>
          </c:xVal>
          <c:yVal>
            <c:numRef>
              <c:f>Расчёты!$B$71:$Y$71</c:f>
              <c:numCache>
                <c:ptCount val="24"/>
                <c:pt idx="0">
                  <c:v>-0.15507611969581955</c:v>
                </c:pt>
                <c:pt idx="1">
                  <c:v>-0.0407218593156255</c:v>
                </c:pt>
                <c:pt idx="2">
                  <c:v>0.011357516512898593</c:v>
                </c:pt>
                <c:pt idx="3">
                  <c:v>-0.005213328671131352</c:v>
                </c:pt>
                <c:pt idx="4">
                  <c:v>-0.08684787146334173</c:v>
                </c:pt>
                <c:pt idx="5">
                  <c:v>-0.21979485326714862</c:v>
                </c:pt>
                <c:pt idx="6">
                  <c:v>-0.38073997310211205</c:v>
                </c:pt>
                <c:pt idx="7">
                  <c:v>-0.5406021688326902</c:v>
                </c:pt>
                <c:pt idx="8">
                  <c:v>-0.6739408039043344</c:v>
                </c:pt>
                <c:pt idx="9">
                  <c:v>-0.769273741305731</c:v>
                </c:pt>
                <c:pt idx="10">
                  <c:v>-0.8299003488266931</c:v>
                </c:pt>
                <c:pt idx="11">
                  <c:v>-0.8660863216184771</c:v>
                </c:pt>
                <c:pt idx="12">
                  <c:v>-0.8883373699450371</c:v>
                </c:pt>
                <c:pt idx="13">
                  <c:v>-0.9049282769936843</c:v>
                </c:pt>
                <c:pt idx="14">
                  <c:v>-0.9214406874525508</c:v>
                </c:pt>
                <c:pt idx="15">
                  <c:v>-0.9403012906205529</c:v>
                </c:pt>
                <c:pt idx="16">
                  <c:v>-0.9596170485691393</c:v>
                </c:pt>
                <c:pt idx="17">
                  <c:v>-0.9716804005497182</c:v>
                </c:pt>
                <c:pt idx="18">
                  <c:v>-0.9627204269368049</c:v>
                </c:pt>
                <c:pt idx="19">
                  <c:v>-0.9162039984077511</c:v>
                </c:pt>
                <c:pt idx="20">
                  <c:v>-0.8203121034640011</c:v>
                </c:pt>
                <c:pt idx="21">
                  <c:v>-0.6758894167612862</c:v>
                </c:pt>
                <c:pt idx="22">
                  <c:v>-0.49894131209109466</c:v>
                </c:pt>
                <c:pt idx="23">
                  <c:v>-0.315822298086304</c:v>
                </c:pt>
              </c:numCache>
            </c:numRef>
          </c:yVal>
          <c:smooth val="1"/>
        </c:ser>
        <c:ser>
          <c:idx val="2"/>
          <c:order val="2"/>
          <c:tx>
            <c:v>B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Расчёты!$B$54:$Z$54</c:f>
              <c:numCache>
                <c:ptCount val="25"/>
                <c:pt idx="0">
                  <c:v>4.631432921986749</c:v>
                </c:pt>
                <c:pt idx="1">
                  <c:v>4.537604858828092</c:v>
                </c:pt>
                <c:pt idx="2">
                  <c:v>4.346771686068345</c:v>
                </c:pt>
                <c:pt idx="3">
                  <c:v>4.066827921095048</c:v>
                </c:pt>
                <c:pt idx="4">
                  <c:v>3.7173716149467757</c:v>
                </c:pt>
                <c:pt idx="5">
                  <c:v>3.3309100311040947</c:v>
                </c:pt>
                <c:pt idx="6">
                  <c:v>2.951995142655963</c:v>
                </c:pt>
                <c:pt idx="7">
                  <c:v>2.6302336807527946</c:v>
                </c:pt>
                <c:pt idx="8">
                  <c:v>2.4040841287080514</c:v>
                </c:pt>
                <c:pt idx="9">
                  <c:v>2.2852650131128263</c:v>
                </c:pt>
                <c:pt idx="10">
                  <c:v>2.261113990536088</c:v>
                </c:pt>
                <c:pt idx="11">
                  <c:v>2.31035677148956</c:v>
                </c:pt>
                <c:pt idx="12">
                  <c:v>2.41453452891327</c:v>
                </c:pt>
                <c:pt idx="13">
                  <c:v>2.5608432614791785</c:v>
                </c:pt>
                <c:pt idx="14">
                  <c:v>2.7409496816786056</c:v>
                </c:pt>
                <c:pt idx="15">
                  <c:v>2.949035119673687</c:v>
                </c:pt>
                <c:pt idx="16">
                  <c:v>3.180023009876076</c:v>
                </c:pt>
                <c:pt idx="17">
                  <c:v>3.4280761483352533</c:v>
                </c:pt>
                <c:pt idx="18">
                  <c:v>3.6853394716133305</c:v>
                </c:pt>
                <c:pt idx="19">
                  <c:v>3.941018063823072</c:v>
                </c:pt>
                <c:pt idx="20">
                  <c:v>4.181000506332024</c:v>
                </c:pt>
                <c:pt idx="21">
                  <c:v>4.388256788011468</c:v>
                </c:pt>
                <c:pt idx="22">
                  <c:v>4.544114914282097</c:v>
                </c:pt>
                <c:pt idx="23">
                  <c:v>4.630300721872826</c:v>
                </c:pt>
                <c:pt idx="24">
                  <c:v>4.631432921986749</c:v>
                </c:pt>
              </c:numCache>
            </c:numRef>
          </c:xVal>
          <c:yVal>
            <c:numRef>
              <c:f>Расчёты!$B$55:$Z$55</c:f>
              <c:numCache>
                <c:ptCount val="25"/>
                <c:pt idx="0">
                  <c:v>-0.5121594705703002</c:v>
                </c:pt>
                <c:pt idx="1">
                  <c:v>-0.5481766894939408</c:v>
                </c:pt>
                <c:pt idx="2">
                  <c:v>-0.6214306812081076</c:v>
                </c:pt>
                <c:pt idx="3">
                  <c:v>-0.7288910244137634</c:v>
                </c:pt>
                <c:pt idx="4">
                  <c:v>-0.8630347321604112</c:v>
                </c:pt>
                <c:pt idx="5">
                  <c:v>-1.0113834351204405</c:v>
                </c:pt>
                <c:pt idx="6">
                  <c:v>-1.1568352331351344</c:v>
                </c:pt>
                <c:pt idx="7">
                  <c:v>-1.280347886220179</c:v>
                </c:pt>
                <c:pt idx="8">
                  <c:v>-1.3671585657895258</c:v>
                </c:pt>
                <c:pt idx="9">
                  <c:v>-1.412768950941248</c:v>
                </c:pt>
                <c:pt idx="10">
                  <c:v>-1.4220396599177865</c:v>
                </c:pt>
                <c:pt idx="11">
                  <c:v>-1.4031371273246214</c:v>
                </c:pt>
                <c:pt idx="12">
                  <c:v>-1.363147032999016</c:v>
                </c:pt>
                <c:pt idx="13">
                  <c:v>-1.3069843725553483</c:v>
                </c:pt>
                <c:pt idx="14">
                  <c:v>-1.237847995361812</c:v>
                </c:pt>
                <c:pt idx="15">
                  <c:v>-1.1579714795009082</c:v>
                </c:pt>
                <c:pt idx="16">
                  <c:v>-1.0693035359235017</c:v>
                </c:pt>
                <c:pt idx="17">
                  <c:v>-0.9740848572913633</c:v>
                </c:pt>
                <c:pt idx="18">
                  <c:v>-0.8753307199512201</c:v>
                </c:pt>
                <c:pt idx="19">
                  <c:v>-0.7771849038734138</c:v>
                </c:pt>
                <c:pt idx="20">
                  <c:v>-0.6850642751542728</c:v>
                </c:pt>
                <c:pt idx="21">
                  <c:v>-0.6055060425823645</c:v>
                </c:pt>
                <c:pt idx="22">
                  <c:v>-0.5456777133390618</c:v>
                </c:pt>
                <c:pt idx="23">
                  <c:v>-0.5125940814744991</c:v>
                </c:pt>
                <c:pt idx="24">
                  <c:v>-0.5121594705703004</c:v>
                </c:pt>
              </c:numCache>
            </c:numRef>
          </c:yVal>
          <c:smooth val="1"/>
        </c:ser>
        <c:axId val="47417937"/>
        <c:axId val="24108250"/>
      </c:scatterChart>
      <c:valAx>
        <c:axId val="4741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8250"/>
        <c:crosses val="autoZero"/>
        <c:crossBetween val="midCat"/>
        <c:dispUnits/>
      </c:valAx>
      <c:valAx>
        <c:axId val="24108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17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Расчёты!$A$272</c:f>
              <c:strCache>
                <c:ptCount val="1"/>
                <c:pt idx="0">
                  <c:v>Wtehn=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Расчёты!$B$272:$Z$272</c:f>
              <c:numCache>
                <c:ptCount val="25"/>
                <c:pt idx="0">
                  <c:v>-0.3057229002255798</c:v>
                </c:pt>
                <c:pt idx="1">
                  <c:v>-0.8401613758244229</c:v>
                </c:pt>
                <c:pt idx="2">
                  <c:v>-1.2403769751776843</c:v>
                </c:pt>
                <c:pt idx="3">
                  <c:v>-1.5403856125700637</c:v>
                </c:pt>
                <c:pt idx="4">
                  <c:v>-1.7727853982361204</c:v>
                </c:pt>
                <c:pt idx="5">
                  <c:v>-1.9120238490613208</c:v>
                </c:pt>
                <c:pt idx="6">
                  <c:v>-1.8544450526977498</c:v>
                </c:pt>
                <c:pt idx="7">
                  <c:v>-1.5063805703929547</c:v>
                </c:pt>
                <c:pt idx="8">
                  <c:v>-0.9397406759114868</c:v>
                </c:pt>
                <c:pt idx="9">
                  <c:v>-0.3649609187178046</c:v>
                </c:pt>
                <c:pt idx="10">
                  <c:v>0.08432088991431677</c:v>
                </c:pt>
                <c:pt idx="11">
                  <c:v>0.42174778125625245</c:v>
                </c:pt>
                <c:pt idx="12">
                  <c:v>0.7233759447940351</c:v>
                </c:pt>
                <c:pt idx="13">
                  <c:v>1.0582080407774073</c:v>
                </c:pt>
                <c:pt idx="14">
                  <c:v>1.4652658940568324</c:v>
                </c:pt>
                <c:pt idx="15">
                  <c:v>1.9480762692783942</c:v>
                </c:pt>
                <c:pt idx="16">
                  <c:v>2.4712926856731663</c:v>
                </c:pt>
                <c:pt idx="17">
                  <c:v>2.9594836533719535</c:v>
                </c:pt>
                <c:pt idx="18">
                  <c:v>3.3048427770723467</c:v>
                </c:pt>
                <c:pt idx="19">
                  <c:v>3.390657602036814</c:v>
                </c:pt>
                <c:pt idx="20">
                  <c:v>3.1300663819126493</c:v>
                </c:pt>
                <c:pt idx="21">
                  <c:v>2.5068144252084474</c:v>
                </c:pt>
                <c:pt idx="22">
                  <c:v>1.5954232259509409</c:v>
                </c:pt>
                <c:pt idx="23">
                  <c:v>0.5432468483116173</c:v>
                </c:pt>
                <c:pt idx="24">
                  <c:v>-0.4830478845824754</c:v>
                </c:pt>
              </c:numCache>
            </c:numRef>
          </c:val>
        </c:ser>
        <c:ser>
          <c:idx val="1"/>
          <c:order val="1"/>
          <c:tx>
            <c:strRef>
              <c:f>Расчёты!$A$273</c:f>
              <c:strCache>
                <c:ptCount val="1"/>
                <c:pt idx="0">
                  <c:v>W(O)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Расчёты!$B$273:$Z$273</c:f>
              <c:numCache>
                <c:ptCount val="25"/>
                <c:pt idx="0">
                  <c:v>38.87410546172345</c:v>
                </c:pt>
                <c:pt idx="1">
                  <c:v>28.28181980084411</c:v>
                </c:pt>
                <c:pt idx="2">
                  <c:v>14.784402822890376</c:v>
                </c:pt>
                <c:pt idx="3">
                  <c:v>0.17378553336783803</c:v>
                </c:pt>
                <c:pt idx="4">
                  <c:v>-15.571563586916701</c:v>
                </c:pt>
                <c:pt idx="5">
                  <c:v>-31.601907007372965</c:v>
                </c:pt>
                <c:pt idx="6">
                  <c:v>-45.101244492497045</c:v>
                </c:pt>
                <c:pt idx="7">
                  <c:v>-51.53748356359245</c:v>
                </c:pt>
                <c:pt idx="8">
                  <c:v>-49.06342154318358</c:v>
                </c:pt>
                <c:pt idx="9">
                  <c:v>-41.994149137079276</c:v>
                </c:pt>
                <c:pt idx="10">
                  <c:v>-35.469123864367546</c:v>
                </c:pt>
                <c:pt idx="11">
                  <c:v>-30.75084790316921</c:v>
                </c:pt>
                <c:pt idx="12">
                  <c:v>-26.814282551871155</c:v>
                </c:pt>
                <c:pt idx="13">
                  <c:v>-22.465796772167813</c:v>
                </c:pt>
                <c:pt idx="14">
                  <c:v>-16.919525349122203</c:v>
                </c:pt>
                <c:pt idx="15">
                  <c:v>-9.712816297498515</c:v>
                </c:pt>
                <c:pt idx="16">
                  <c:v>-0.46563506474683686</c:v>
                </c:pt>
                <c:pt idx="17">
                  <c:v>11.509356198092778</c:v>
                </c:pt>
                <c:pt idx="18">
                  <c:v>27.54279178544958</c:v>
                </c:pt>
                <c:pt idx="19">
                  <c:v>48.50654572467523</c:v>
                </c:pt>
                <c:pt idx="20">
                  <c:v>71.2387543610487</c:v>
                </c:pt>
                <c:pt idx="21">
                  <c:v>87.14123575219556</c:v>
                </c:pt>
                <c:pt idx="22">
                  <c:v>88.72922526406337</c:v>
                </c:pt>
                <c:pt idx="23">
                  <c:v>77.11837775933195</c:v>
                </c:pt>
                <c:pt idx="24">
                  <c:v>60.151643571673524</c:v>
                </c:pt>
              </c:numCache>
            </c:numRef>
          </c:val>
        </c:ser>
        <c:ser>
          <c:idx val="2"/>
          <c:order val="2"/>
          <c:tx>
            <c:strRef>
              <c:f>Расчёты!$A$274</c:f>
              <c:strCache>
                <c:ptCount val="1"/>
                <c:pt idx="0">
                  <c:v>W(A)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Расчёты!$B$274:$Z$274</c:f>
              <c:numCache>
                <c:ptCount val="25"/>
                <c:pt idx="0">
                  <c:v>33.96910546172345</c:v>
                </c:pt>
                <c:pt idx="1">
                  <c:v>24.29225807263294</c:v>
                </c:pt>
                <c:pt idx="2">
                  <c:v>11.97390957573127</c:v>
                </c:pt>
                <c:pt idx="3">
                  <c:v>-1.264969871787688</c:v>
                </c:pt>
                <c:pt idx="4">
                  <c:v>-15.528282337759805</c:v>
                </c:pt>
                <c:pt idx="5">
                  <c:v>-30.056415976275254</c:v>
                </c:pt>
                <c:pt idx="6">
                  <c:v>-42.12710151515803</c:v>
                </c:pt>
                <c:pt idx="7">
                  <c:v>-47.30095887126251</c:v>
                </c:pt>
                <c:pt idx="8">
                  <c:v>-43.81746555061044</c:v>
                </c:pt>
                <c:pt idx="9">
                  <c:v>-36.067128925123605</c:v>
                </c:pt>
                <c:pt idx="10">
                  <c:v>-29.24837944100861</c:v>
                </c:pt>
                <c:pt idx="11">
                  <c:v>-24.661473901140077</c:v>
                </c:pt>
                <c:pt idx="12">
                  <c:v>-21.29395213049829</c:v>
                </c:pt>
                <c:pt idx="13">
                  <c:v>-17.936868675303884</c:v>
                </c:pt>
                <c:pt idx="14">
                  <c:v>-13.76006127335581</c:v>
                </c:pt>
                <c:pt idx="15">
                  <c:v>-8.22843264815748</c:v>
                </c:pt>
                <c:pt idx="16">
                  <c:v>-0.8642761789060884</c:v>
                </c:pt>
                <c:pt idx="17">
                  <c:v>9.1376396291495</c:v>
                </c:pt>
                <c:pt idx="18">
                  <c:v>23.23916149736595</c:v>
                </c:pt>
                <c:pt idx="19">
                  <c:v>42.448261796405504</c:v>
                </c:pt>
                <c:pt idx="20">
                  <c:v>63.734627877687046</c:v>
                </c:pt>
                <c:pt idx="21">
                  <c:v>78.61730419420702</c:v>
                </c:pt>
                <c:pt idx="22">
                  <c:v>79.70504097922557</c:v>
                </c:pt>
                <c:pt idx="23">
                  <c:v>68.17505442415042</c:v>
                </c:pt>
                <c:pt idx="24">
                  <c:v>51.893518087138666</c:v>
                </c:pt>
              </c:numCache>
            </c:numRef>
          </c:val>
        </c:ser>
        <c:ser>
          <c:idx val="3"/>
          <c:order val="3"/>
          <c:tx>
            <c:strRef>
              <c:f>Расчёты!$A$275</c:f>
              <c:strCache>
                <c:ptCount val="1"/>
                <c:pt idx="0">
                  <c:v>W(B)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Расчёты!$B$275:$Z$275</c:f>
              <c:numCache>
                <c:ptCount val="25"/>
                <c:pt idx="0">
                  <c:v>-0.8673748477824306</c:v>
                </c:pt>
                <c:pt idx="1">
                  <c:v>-2.575502802251809</c:v>
                </c:pt>
                <c:pt idx="2">
                  <c:v>-4.282892453339501</c:v>
                </c:pt>
                <c:pt idx="3">
                  <c:v>-6.188558332915152</c:v>
                </c:pt>
                <c:pt idx="4">
                  <c:v>-8.403188260213645</c:v>
                </c:pt>
                <c:pt idx="5">
                  <c:v>-10.653010529985194</c:v>
                </c:pt>
                <c:pt idx="6">
                  <c:v>-11.924252258993638</c:v>
                </c:pt>
                <c:pt idx="7">
                  <c:v>-10.766598048670076</c:v>
                </c:pt>
                <c:pt idx="8">
                  <c:v>-7.07829447555768</c:v>
                </c:pt>
                <c:pt idx="9">
                  <c:v>-2.7680571374539116</c:v>
                </c:pt>
                <c:pt idx="10">
                  <c:v>0.6267122600179867</c:v>
                </c:pt>
                <c:pt idx="11">
                  <c:v>2.998083498151171</c:v>
                </c:pt>
                <c:pt idx="12">
                  <c:v>4.767693266420877</c:v>
                </c:pt>
                <c:pt idx="13">
                  <c:v>6.2814256680803275</c:v>
                </c:pt>
                <c:pt idx="14">
                  <c:v>7.7108856056581505</c:v>
                </c:pt>
                <c:pt idx="15">
                  <c:v>9.078105468361846</c:v>
                </c:pt>
                <c:pt idx="16">
                  <c:v>10.273800975804871</c:v>
                </c:pt>
                <c:pt idx="17">
                  <c:v>11.071705124217871</c:v>
                </c:pt>
                <c:pt idx="18">
                  <c:v>11.17309539336127</c:v>
                </c:pt>
                <c:pt idx="19">
                  <c:v>10.312142820344354</c:v>
                </c:pt>
                <c:pt idx="20">
                  <c:v>8.416060415280912</c:v>
                </c:pt>
                <c:pt idx="21">
                  <c:v>5.749528108685622</c:v>
                </c:pt>
                <c:pt idx="22">
                  <c:v>2.9272440906920596</c:v>
                </c:pt>
                <c:pt idx="23">
                  <c:v>0.7121376064857561</c:v>
                </c:pt>
                <c:pt idx="24">
                  <c:v>-0.36912143648434137</c:v>
                </c:pt>
              </c:numCache>
            </c:numRef>
          </c:val>
        </c:ser>
        <c:ser>
          <c:idx val="4"/>
          <c:order val="4"/>
          <c:tx>
            <c:strRef>
              <c:f>Расчёты!$A$276</c:f>
              <c:strCache>
                <c:ptCount val="1"/>
                <c:pt idx="0">
                  <c:v>W(L)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Расчёты!$B$276:$Z$276</c:f>
              <c:numCache>
                <c:ptCount val="25"/>
                <c:pt idx="0">
                  <c:v>16.844657797861306</c:v>
                </c:pt>
                <c:pt idx="1">
                  <c:v>10.353885830788373</c:v>
                </c:pt>
                <c:pt idx="2">
                  <c:v>2.380265312683891</c:v>
                </c:pt>
                <c:pt idx="3">
                  <c:v>-5.162597292110751</c:v>
                </c:pt>
                <c:pt idx="4">
                  <c:v>-12.356708292242505</c:v>
                </c:pt>
                <c:pt idx="5">
                  <c:v>-18.977853369406997</c:v>
                </c:pt>
                <c:pt idx="6">
                  <c:v>-23.887812855035385</c:v>
                </c:pt>
                <c:pt idx="7">
                  <c:v>-24.960550516276474</c:v>
                </c:pt>
                <c:pt idx="8">
                  <c:v>-21.123052322420055</c:v>
                </c:pt>
                <c:pt idx="9">
                  <c:v>-14.6882205536057</c:v>
                </c:pt>
                <c:pt idx="10">
                  <c:v>-9.037387318941388</c:v>
                </c:pt>
                <c:pt idx="11">
                  <c:v>-5.511610560955031</c:v>
                </c:pt>
                <c:pt idx="12">
                  <c:v>-3.8741871153050464</c:v>
                </c:pt>
                <c:pt idx="13">
                  <c:v>-3.5401553291989964</c:v>
                </c:pt>
                <c:pt idx="14">
                  <c:v>-3.9457993356566625</c:v>
                </c:pt>
                <c:pt idx="15">
                  <c:v>-4.463266396969605</c:v>
                </c:pt>
                <c:pt idx="16">
                  <c:v>-4.182503841771753</c:v>
                </c:pt>
                <c:pt idx="17">
                  <c:v>-1.5694652064586274</c:v>
                </c:pt>
                <c:pt idx="18">
                  <c:v>5.747294035228539</c:v>
                </c:pt>
                <c:pt idx="19">
                  <c:v>19.642226829143876</c:v>
                </c:pt>
                <c:pt idx="20">
                  <c:v>37.60731360095107</c:v>
                </c:pt>
                <c:pt idx="21">
                  <c:v>51.091866571443646</c:v>
                </c:pt>
                <c:pt idx="22">
                  <c:v>52.032200464414494</c:v>
                </c:pt>
                <c:pt idx="23">
                  <c:v>40.6662671089782</c:v>
                </c:pt>
                <c:pt idx="24">
                  <c:v>24.26115812338534</c:v>
                </c:pt>
              </c:numCache>
            </c:numRef>
          </c:val>
        </c:ser>
        <c:ser>
          <c:idx val="5"/>
          <c:order val="5"/>
          <c:tx>
            <c:strRef>
              <c:f>Расчёты!$A$277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Расчёты!$B$277:$Z$277</c:f>
              <c:numCache>
                <c:ptCount val="25"/>
              </c:numCache>
            </c:numRef>
          </c:val>
        </c:ser>
        <c:ser>
          <c:idx val="6"/>
          <c:order val="6"/>
          <c:tx>
            <c:strRef>
              <c:f>Расчёты!$A$278</c:f>
              <c:strCache>
                <c:ptCount val="1"/>
                <c:pt idx="0">
                  <c:v>W(C1)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Расчёты!$B$278:$Z$278</c:f>
              <c:numCache>
                <c:ptCount val="25"/>
                <c:pt idx="0">
                  <c:v>4.905</c:v>
                </c:pt>
                <c:pt idx="1">
                  <c:v>3.9895617282111617</c:v>
                </c:pt>
                <c:pt idx="2">
                  <c:v>2.810493247159099</c:v>
                </c:pt>
                <c:pt idx="3">
                  <c:v>1.438755405155526</c:v>
                </c:pt>
                <c:pt idx="4">
                  <c:v>-0.043281249156898766</c:v>
                </c:pt>
                <c:pt idx="5">
                  <c:v>-1.54549103109771</c:v>
                </c:pt>
                <c:pt idx="6">
                  <c:v>-2.974142977339012</c:v>
                </c:pt>
                <c:pt idx="7">
                  <c:v>-4.236524692329947</c:v>
                </c:pt>
                <c:pt idx="8">
                  <c:v>-5.24595599257314</c:v>
                </c:pt>
                <c:pt idx="9">
                  <c:v>-5.927020211955676</c:v>
                </c:pt>
                <c:pt idx="10">
                  <c:v>-6.220744423358947</c:v>
                </c:pt>
                <c:pt idx="11">
                  <c:v>-6.089374002029119</c:v>
                </c:pt>
                <c:pt idx="12">
                  <c:v>-5.520330421372863</c:v>
                </c:pt>
                <c:pt idx="13">
                  <c:v>-4.528928096863932</c:v>
                </c:pt>
                <c:pt idx="14">
                  <c:v>-3.159464075766388</c:v>
                </c:pt>
                <c:pt idx="15">
                  <c:v>-1.4843836493410443</c:v>
                </c:pt>
                <c:pt idx="16">
                  <c:v>0.39864111415926295</c:v>
                </c:pt>
                <c:pt idx="17">
                  <c:v>2.3717165689432713</c:v>
                </c:pt>
                <c:pt idx="18">
                  <c:v>4.303630288083632</c:v>
                </c:pt>
                <c:pt idx="19">
                  <c:v>6.058283928269722</c:v>
                </c:pt>
                <c:pt idx="20">
                  <c:v>7.504126483361656</c:v>
                </c:pt>
                <c:pt idx="21">
                  <c:v>8.523931557988531</c:v>
                </c:pt>
                <c:pt idx="22">
                  <c:v>9.0241842848378</c:v>
                </c:pt>
                <c:pt idx="23">
                  <c:v>8.943323335181514</c:v>
                </c:pt>
                <c:pt idx="24">
                  <c:v>8.258125484534874</c:v>
                </c:pt>
              </c:numCache>
            </c:numRef>
          </c:val>
        </c:ser>
        <c:ser>
          <c:idx val="7"/>
          <c:order val="7"/>
          <c:tx>
            <c:strRef>
              <c:f>Расчёты!$A$279</c:f>
              <c:strCache>
                <c:ptCount val="1"/>
                <c:pt idx="0">
                  <c:v>W(C2)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Расчёты!$B$279:$Z$279</c:f>
              <c:numCache>
                <c:ptCount val="25"/>
                <c:pt idx="0">
                  <c:v>17.991822511644568</c:v>
                </c:pt>
                <c:pt idx="1">
                  <c:v>16.513875044096384</c:v>
                </c:pt>
                <c:pt idx="2">
                  <c:v>13.876536716386877</c:v>
                </c:pt>
                <c:pt idx="3">
                  <c:v>10.086185753238215</c:v>
                </c:pt>
                <c:pt idx="4">
                  <c:v>5.231614214696338</c:v>
                </c:pt>
                <c:pt idx="5">
                  <c:v>-0.42555207688304203</c:v>
                </c:pt>
                <c:pt idx="6">
                  <c:v>-6.3150364011290145</c:v>
                </c:pt>
                <c:pt idx="7">
                  <c:v>-11.573810306315961</c:v>
                </c:pt>
                <c:pt idx="8">
                  <c:v>-15.616118752632724</c:v>
                </c:pt>
                <c:pt idx="9">
                  <c:v>-18.610851234063986</c:v>
                </c:pt>
                <c:pt idx="10">
                  <c:v>-20.837704382085207</c:v>
                </c:pt>
                <c:pt idx="11">
                  <c:v>-22.14794683833622</c:v>
                </c:pt>
                <c:pt idx="12">
                  <c:v>-22.187458281614123</c:v>
                </c:pt>
                <c:pt idx="13">
                  <c:v>-20.678139014185213</c:v>
                </c:pt>
                <c:pt idx="14">
                  <c:v>-17.525147543357296</c:v>
                </c:pt>
                <c:pt idx="15">
                  <c:v>-12.843271719549714</c:v>
                </c:pt>
                <c:pt idx="16">
                  <c:v>-6.955573312939223</c:v>
                </c:pt>
                <c:pt idx="17">
                  <c:v>-0.364600288609745</c:v>
                </c:pt>
                <c:pt idx="18">
                  <c:v>6.318772068776144</c:v>
                </c:pt>
                <c:pt idx="19">
                  <c:v>12.493892146917275</c:v>
                </c:pt>
                <c:pt idx="20">
                  <c:v>17.71125386145507</c:v>
                </c:pt>
                <c:pt idx="21">
                  <c:v>21.775909514077746</c:v>
                </c:pt>
                <c:pt idx="22">
                  <c:v>24.745596424119036</c:v>
                </c:pt>
                <c:pt idx="23">
                  <c:v>26.796649708686473</c:v>
                </c:pt>
                <c:pt idx="24">
                  <c:v>28.00148140023766</c:v>
                </c:pt>
              </c:numCache>
            </c:numRef>
          </c:val>
        </c:ser>
        <c:ser>
          <c:idx val="8"/>
          <c:order val="8"/>
          <c:tx>
            <c:strRef>
              <c:f>Расчёты!$A$280</c:f>
              <c:strCache>
                <c:ptCount val="1"/>
                <c:pt idx="0">
                  <c:v>W(C3)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Расчёты!$B$280:$Z$280</c:f>
              <c:numCache>
                <c:ptCount val="25"/>
                <c:pt idx="0">
                  <c:v>-0.5616519475568509</c:v>
                </c:pt>
                <c:pt idx="1">
                  <c:v>-1.735341426427386</c:v>
                </c:pt>
                <c:pt idx="2">
                  <c:v>-3.0425154781618176</c:v>
                </c:pt>
                <c:pt idx="3">
                  <c:v>-4.648172720345088</c:v>
                </c:pt>
                <c:pt idx="4">
                  <c:v>-6.630402861977525</c:v>
                </c:pt>
                <c:pt idx="5">
                  <c:v>-8.740986680923873</c:v>
                </c:pt>
                <c:pt idx="6">
                  <c:v>-10.069807206295888</c:v>
                </c:pt>
                <c:pt idx="7">
                  <c:v>-9.260217478277122</c:v>
                </c:pt>
                <c:pt idx="8">
                  <c:v>-6.138553799646193</c:v>
                </c:pt>
                <c:pt idx="9">
                  <c:v>-2.403096218736107</c:v>
                </c:pt>
                <c:pt idx="10">
                  <c:v>0.5423913701036699</c:v>
                </c:pt>
                <c:pt idx="11">
                  <c:v>2.576335716894918</c:v>
                </c:pt>
                <c:pt idx="12">
                  <c:v>4.044317321626842</c:v>
                </c:pt>
                <c:pt idx="13">
                  <c:v>5.223217627302921</c:v>
                </c:pt>
                <c:pt idx="14">
                  <c:v>6.245619711601318</c:v>
                </c:pt>
                <c:pt idx="15">
                  <c:v>7.1300291990834515</c:v>
                </c:pt>
                <c:pt idx="16">
                  <c:v>7.802508290131705</c:v>
                </c:pt>
                <c:pt idx="17">
                  <c:v>8.112221470845919</c:v>
                </c:pt>
                <c:pt idx="18">
                  <c:v>7.868252616288924</c:v>
                </c:pt>
                <c:pt idx="19">
                  <c:v>6.921485218307539</c:v>
                </c:pt>
                <c:pt idx="20">
                  <c:v>5.285994033368262</c:v>
                </c:pt>
                <c:pt idx="21">
                  <c:v>3.242713683477176</c:v>
                </c:pt>
                <c:pt idx="22">
                  <c:v>1.3318208647411196</c:v>
                </c:pt>
                <c:pt idx="23">
                  <c:v>0.1688907581741388</c:v>
                </c:pt>
                <c:pt idx="24">
                  <c:v>0.1139264480981339</c:v>
                </c:pt>
              </c:numCache>
            </c:numRef>
          </c:val>
        </c:ser>
        <c:ser>
          <c:idx val="9"/>
          <c:order val="9"/>
          <c:tx>
            <c:strRef>
              <c:f>Расчёты!$A$281</c:f>
              <c:strCache>
                <c:ptCount val="1"/>
                <c:pt idx="0">
                  <c:v>W(C4)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Расчёты!$B$281:$Z$281</c:f>
              <c:numCache>
                <c:ptCount val="25"/>
                <c:pt idx="0">
                  <c:v>4.634226513615134</c:v>
                </c:pt>
                <c:pt idx="1">
                  <c:v>2.9821148554428762</c:v>
                </c:pt>
                <c:pt idx="2">
                  <c:v>0.9104173454820045</c:v>
                </c:pt>
                <c:pt idx="3">
                  <c:v>-1.0625304778736</c:v>
                </c:pt>
                <c:pt idx="4">
                  <c:v>-2.9428275214836868</c:v>
                </c:pt>
                <c:pt idx="5">
                  <c:v>-4.657663915505159</c:v>
                </c:pt>
                <c:pt idx="6">
                  <c:v>-5.903415052917368</c:v>
                </c:pt>
                <c:pt idx="7">
                  <c:v>-6.151136131102605</c:v>
                </c:pt>
                <c:pt idx="8">
                  <c:v>-5.191154182650293</c:v>
                </c:pt>
                <c:pt idx="9">
                  <c:v>-3.659195431971497</c:v>
                </c:pt>
                <c:pt idx="10">
                  <c:v>-2.3822001705835714</c:v>
                </c:pt>
                <c:pt idx="11">
                  <c:v>-1.6489390172057872</c:v>
                </c:pt>
                <c:pt idx="12">
                  <c:v>-1.372076256360006</c:v>
                </c:pt>
                <c:pt idx="13">
                  <c:v>-1.3926706770338992</c:v>
                </c:pt>
                <c:pt idx="14">
                  <c:v>-1.5627988657064498</c:v>
                </c:pt>
                <c:pt idx="15">
                  <c:v>-1.7191819569322082</c:v>
                </c:pt>
                <c:pt idx="16">
                  <c:v>-1.625152669827459</c:v>
                </c:pt>
                <c:pt idx="17">
                  <c:v>-0.8819322307089819</c:v>
                </c:pt>
                <c:pt idx="18">
                  <c:v>1.1236127638318605</c:v>
                </c:pt>
                <c:pt idx="19">
                  <c:v>4.871519504807271</c:v>
                </c:pt>
                <c:pt idx="20">
                  <c:v>9.71123937325676</c:v>
                </c:pt>
                <c:pt idx="21">
                  <c:v>13.432930919535476</c:v>
                </c:pt>
                <c:pt idx="22">
                  <c:v>13.92552006007569</c:v>
                </c:pt>
                <c:pt idx="23">
                  <c:v>11.178865741975567</c:v>
                </c:pt>
                <c:pt idx="24">
                  <c:v>6.9938804164098105</c:v>
                </c:pt>
              </c:numCache>
            </c:numRef>
          </c:val>
        </c:ser>
        <c:ser>
          <c:idx val="10"/>
          <c:order val="10"/>
          <c:tx>
            <c:strRef>
              <c:f>Расчёты!$A$282</c:f>
              <c:strCache>
                <c:ptCount val="1"/>
                <c:pt idx="0">
                  <c:v>W(C5)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Расчёты!$B$282:$Z$282</c:f>
              <c:numCache>
                <c:ptCount val="25"/>
                <c:pt idx="0">
                  <c:v>12.21043128424617</c:v>
                </c:pt>
                <c:pt idx="1">
                  <c:v>7.371770975345496</c:v>
                </c:pt>
                <c:pt idx="2">
                  <c:v>1.4698479672018856</c:v>
                </c:pt>
                <c:pt idx="3">
                  <c:v>-4.100066814237151</c:v>
                </c:pt>
                <c:pt idx="4">
                  <c:v>-9.413880770758814</c:v>
                </c:pt>
                <c:pt idx="5">
                  <c:v>-14.32018945390184</c:v>
                </c:pt>
                <c:pt idx="6">
                  <c:v>-17.984397802118018</c:v>
                </c:pt>
                <c:pt idx="7">
                  <c:v>-18.80941438517387</c:v>
                </c:pt>
                <c:pt idx="8">
                  <c:v>-15.93189813976976</c:v>
                </c:pt>
                <c:pt idx="9">
                  <c:v>-11.029025121634202</c:v>
                </c:pt>
                <c:pt idx="10">
                  <c:v>-6.655187148357818</c:v>
                </c:pt>
                <c:pt idx="11">
                  <c:v>-3.862671543749243</c:v>
                </c:pt>
                <c:pt idx="12">
                  <c:v>-2.50211085894504</c:v>
                </c:pt>
                <c:pt idx="13">
                  <c:v>-2.147484652165097</c:v>
                </c:pt>
                <c:pt idx="14">
                  <c:v>-2.3830004699502125</c:v>
                </c:pt>
                <c:pt idx="15">
                  <c:v>-2.7440844400373963</c:v>
                </c:pt>
                <c:pt idx="16">
                  <c:v>-2.557351171944294</c:v>
                </c:pt>
                <c:pt idx="17">
                  <c:v>-0.6875329757496457</c:v>
                </c:pt>
                <c:pt idx="18">
                  <c:v>4.623681271396679</c:v>
                </c:pt>
                <c:pt idx="19">
                  <c:v>14.770707324336609</c:v>
                </c:pt>
                <c:pt idx="20">
                  <c:v>27.896074227694317</c:v>
                </c:pt>
                <c:pt idx="21">
                  <c:v>37.658935651908166</c:v>
                </c:pt>
                <c:pt idx="22">
                  <c:v>38.106680404338796</c:v>
                </c:pt>
                <c:pt idx="23">
                  <c:v>29.48740136700263</c:v>
                </c:pt>
                <c:pt idx="24">
                  <c:v>17.267277706975527</c:v>
                </c:pt>
              </c:numCache>
            </c:numRef>
          </c:val>
        </c:ser>
        <c:axId val="5842997"/>
        <c:axId val="52586974"/>
      </c:area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86974"/>
        <c:crosses val="autoZero"/>
        <c:auto val="1"/>
        <c:lblOffset val="100"/>
        <c:noMultiLvlLbl val="0"/>
      </c:catAx>
      <c:valAx>
        <c:axId val="5258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9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1"/>
    </c:view3D>
    <c:plotArea>
      <c:layout>
        <c:manualLayout>
          <c:xMode val="edge"/>
          <c:yMode val="edge"/>
          <c:x val="0.00825"/>
          <c:y val="0.03025"/>
          <c:w val="0.862"/>
          <c:h val="0.96225"/>
        </c:manualLayout>
      </c:layout>
      <c:area3DChart>
        <c:grouping val="standard"/>
        <c:varyColors val="0"/>
        <c:ser>
          <c:idx val="0"/>
          <c:order val="0"/>
          <c:tx>
            <c:strRef>
              <c:f>Расчёты!$A$272</c:f>
              <c:strCache>
                <c:ptCount val="1"/>
                <c:pt idx="0">
                  <c:v>Wtehn=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Расчёты!$B$272:$IV$272</c:f>
              <c:numCache>
                <c:ptCount val="26"/>
                <c:pt idx="0">
                  <c:v>-0.3057229002255798</c:v>
                </c:pt>
                <c:pt idx="1">
                  <c:v>-0.8401613758244229</c:v>
                </c:pt>
                <c:pt idx="2">
                  <c:v>-1.2403769751776843</c:v>
                </c:pt>
                <c:pt idx="3">
                  <c:v>-1.5403856125700637</c:v>
                </c:pt>
                <c:pt idx="4">
                  <c:v>-1.7727853982361204</c:v>
                </c:pt>
                <c:pt idx="5">
                  <c:v>-1.9120238490613208</c:v>
                </c:pt>
                <c:pt idx="6">
                  <c:v>-1.8544450526977498</c:v>
                </c:pt>
                <c:pt idx="7">
                  <c:v>-1.5063805703929547</c:v>
                </c:pt>
                <c:pt idx="8">
                  <c:v>-0.9397406759114868</c:v>
                </c:pt>
                <c:pt idx="9">
                  <c:v>-0.3649609187178046</c:v>
                </c:pt>
                <c:pt idx="10">
                  <c:v>0.08432088991431677</c:v>
                </c:pt>
                <c:pt idx="11">
                  <c:v>0.42174778125625245</c:v>
                </c:pt>
                <c:pt idx="12">
                  <c:v>0.7233759447940351</c:v>
                </c:pt>
                <c:pt idx="13">
                  <c:v>1.0582080407774073</c:v>
                </c:pt>
                <c:pt idx="14">
                  <c:v>1.4652658940568324</c:v>
                </c:pt>
                <c:pt idx="15">
                  <c:v>1.9480762692783942</c:v>
                </c:pt>
                <c:pt idx="16">
                  <c:v>2.4712926856731663</c:v>
                </c:pt>
                <c:pt idx="17">
                  <c:v>2.9594836533719535</c:v>
                </c:pt>
                <c:pt idx="18">
                  <c:v>3.3048427770723467</c:v>
                </c:pt>
                <c:pt idx="19">
                  <c:v>3.390657602036814</c:v>
                </c:pt>
                <c:pt idx="20">
                  <c:v>3.1300663819126493</c:v>
                </c:pt>
                <c:pt idx="21">
                  <c:v>2.5068144252084474</c:v>
                </c:pt>
                <c:pt idx="22">
                  <c:v>1.5954232259509409</c:v>
                </c:pt>
                <c:pt idx="23">
                  <c:v>0.5432468483116173</c:v>
                </c:pt>
                <c:pt idx="24">
                  <c:v>-0.4830478845824754</c:v>
                </c:pt>
              </c:numCache>
            </c:numRef>
          </c:val>
        </c:ser>
        <c:ser>
          <c:idx val="3"/>
          <c:order val="1"/>
          <c:tx>
            <c:strRef>
              <c:f>Расчёты!$A$275</c:f>
              <c:strCache>
                <c:ptCount val="1"/>
                <c:pt idx="0">
                  <c:v>W(B)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Расчёты!$B$275:$IV$275</c:f>
              <c:numCache>
                <c:ptCount val="26"/>
                <c:pt idx="0">
                  <c:v>-0.8673748477824306</c:v>
                </c:pt>
                <c:pt idx="1">
                  <c:v>-2.575502802251809</c:v>
                </c:pt>
                <c:pt idx="2">
                  <c:v>-4.282892453339501</c:v>
                </c:pt>
                <c:pt idx="3">
                  <c:v>-6.188558332915152</c:v>
                </c:pt>
                <c:pt idx="4">
                  <c:v>-8.403188260213645</c:v>
                </c:pt>
                <c:pt idx="5">
                  <c:v>-10.653010529985194</c:v>
                </c:pt>
                <c:pt idx="6">
                  <c:v>-11.924252258993638</c:v>
                </c:pt>
                <c:pt idx="7">
                  <c:v>-10.766598048670076</c:v>
                </c:pt>
                <c:pt idx="8">
                  <c:v>-7.07829447555768</c:v>
                </c:pt>
                <c:pt idx="9">
                  <c:v>-2.7680571374539116</c:v>
                </c:pt>
                <c:pt idx="10">
                  <c:v>0.6267122600179867</c:v>
                </c:pt>
                <c:pt idx="11">
                  <c:v>2.998083498151171</c:v>
                </c:pt>
                <c:pt idx="12">
                  <c:v>4.767693266420877</c:v>
                </c:pt>
                <c:pt idx="13">
                  <c:v>6.2814256680803275</c:v>
                </c:pt>
                <c:pt idx="14">
                  <c:v>7.7108856056581505</c:v>
                </c:pt>
                <c:pt idx="15">
                  <c:v>9.078105468361846</c:v>
                </c:pt>
                <c:pt idx="16">
                  <c:v>10.273800975804871</c:v>
                </c:pt>
                <c:pt idx="17">
                  <c:v>11.071705124217871</c:v>
                </c:pt>
                <c:pt idx="18">
                  <c:v>11.17309539336127</c:v>
                </c:pt>
                <c:pt idx="19">
                  <c:v>10.312142820344354</c:v>
                </c:pt>
                <c:pt idx="20">
                  <c:v>8.416060415280912</c:v>
                </c:pt>
                <c:pt idx="21">
                  <c:v>5.749528108685622</c:v>
                </c:pt>
                <c:pt idx="22">
                  <c:v>2.9272440906920596</c:v>
                </c:pt>
                <c:pt idx="23">
                  <c:v>0.7121376064857561</c:v>
                </c:pt>
                <c:pt idx="24">
                  <c:v>-0.36912143648434137</c:v>
                </c:pt>
              </c:numCache>
            </c:numRef>
          </c:val>
        </c:ser>
        <c:ser>
          <c:idx val="4"/>
          <c:order val="2"/>
          <c:tx>
            <c:strRef>
              <c:f>Расчёты!$A$276</c:f>
              <c:strCache>
                <c:ptCount val="1"/>
                <c:pt idx="0">
                  <c:v>W(L)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Расчёты!$B$276:$IV$276</c:f>
              <c:numCache>
                <c:ptCount val="26"/>
                <c:pt idx="0">
                  <c:v>16.844657797861306</c:v>
                </c:pt>
                <c:pt idx="1">
                  <c:v>10.353885830788373</c:v>
                </c:pt>
                <c:pt idx="2">
                  <c:v>2.380265312683891</c:v>
                </c:pt>
                <c:pt idx="3">
                  <c:v>-5.162597292110751</c:v>
                </c:pt>
                <c:pt idx="4">
                  <c:v>-12.356708292242505</c:v>
                </c:pt>
                <c:pt idx="5">
                  <c:v>-18.977853369406997</c:v>
                </c:pt>
                <c:pt idx="6">
                  <c:v>-23.887812855035385</c:v>
                </c:pt>
                <c:pt idx="7">
                  <c:v>-24.960550516276474</c:v>
                </c:pt>
                <c:pt idx="8">
                  <c:v>-21.123052322420055</c:v>
                </c:pt>
                <c:pt idx="9">
                  <c:v>-14.6882205536057</c:v>
                </c:pt>
                <c:pt idx="10">
                  <c:v>-9.037387318941388</c:v>
                </c:pt>
                <c:pt idx="11">
                  <c:v>-5.511610560955031</c:v>
                </c:pt>
                <c:pt idx="12">
                  <c:v>-3.8741871153050464</c:v>
                </c:pt>
                <c:pt idx="13">
                  <c:v>-3.5401553291989964</c:v>
                </c:pt>
                <c:pt idx="14">
                  <c:v>-3.9457993356566625</c:v>
                </c:pt>
                <c:pt idx="15">
                  <c:v>-4.463266396969605</c:v>
                </c:pt>
                <c:pt idx="16">
                  <c:v>-4.182503841771753</c:v>
                </c:pt>
                <c:pt idx="17">
                  <c:v>-1.5694652064586274</c:v>
                </c:pt>
                <c:pt idx="18">
                  <c:v>5.747294035228539</c:v>
                </c:pt>
                <c:pt idx="19">
                  <c:v>19.642226829143876</c:v>
                </c:pt>
                <c:pt idx="20">
                  <c:v>37.60731360095107</c:v>
                </c:pt>
                <c:pt idx="21">
                  <c:v>51.091866571443646</c:v>
                </c:pt>
                <c:pt idx="22">
                  <c:v>52.032200464414494</c:v>
                </c:pt>
                <c:pt idx="23">
                  <c:v>40.6662671089782</c:v>
                </c:pt>
                <c:pt idx="24">
                  <c:v>24.26115812338534</c:v>
                </c:pt>
              </c:numCache>
            </c:numRef>
          </c:val>
        </c:ser>
        <c:ser>
          <c:idx val="2"/>
          <c:order val="3"/>
          <c:tx>
            <c:strRef>
              <c:f>Расчёты!$A$274</c:f>
              <c:strCache>
                <c:ptCount val="1"/>
                <c:pt idx="0">
                  <c:v>W(A)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Расчёты!$B$274:$IV$274</c:f>
              <c:numCache>
                <c:ptCount val="26"/>
                <c:pt idx="0">
                  <c:v>33.96910546172345</c:v>
                </c:pt>
                <c:pt idx="1">
                  <c:v>24.29225807263294</c:v>
                </c:pt>
                <c:pt idx="2">
                  <c:v>11.97390957573127</c:v>
                </c:pt>
                <c:pt idx="3">
                  <c:v>-1.264969871787688</c:v>
                </c:pt>
                <c:pt idx="4">
                  <c:v>-15.528282337759805</c:v>
                </c:pt>
                <c:pt idx="5">
                  <c:v>-30.056415976275254</c:v>
                </c:pt>
                <c:pt idx="6">
                  <c:v>-42.12710151515803</c:v>
                </c:pt>
                <c:pt idx="7">
                  <c:v>-47.30095887126251</c:v>
                </c:pt>
                <c:pt idx="8">
                  <c:v>-43.81746555061044</c:v>
                </c:pt>
                <c:pt idx="9">
                  <c:v>-36.067128925123605</c:v>
                </c:pt>
                <c:pt idx="10">
                  <c:v>-29.24837944100861</c:v>
                </c:pt>
                <c:pt idx="11">
                  <c:v>-24.661473901140077</c:v>
                </c:pt>
                <c:pt idx="12">
                  <c:v>-21.29395213049829</c:v>
                </c:pt>
                <c:pt idx="13">
                  <c:v>-17.936868675303884</c:v>
                </c:pt>
                <c:pt idx="14">
                  <c:v>-13.76006127335581</c:v>
                </c:pt>
                <c:pt idx="15">
                  <c:v>-8.22843264815748</c:v>
                </c:pt>
                <c:pt idx="16">
                  <c:v>-0.8642761789060884</c:v>
                </c:pt>
                <c:pt idx="17">
                  <c:v>9.1376396291495</c:v>
                </c:pt>
                <c:pt idx="18">
                  <c:v>23.23916149736595</c:v>
                </c:pt>
                <c:pt idx="19">
                  <c:v>42.448261796405504</c:v>
                </c:pt>
                <c:pt idx="20">
                  <c:v>63.734627877687046</c:v>
                </c:pt>
                <c:pt idx="21">
                  <c:v>78.61730419420702</c:v>
                </c:pt>
                <c:pt idx="22">
                  <c:v>79.70504097922557</c:v>
                </c:pt>
                <c:pt idx="23">
                  <c:v>68.17505442415042</c:v>
                </c:pt>
                <c:pt idx="24">
                  <c:v>51.893518087138666</c:v>
                </c:pt>
              </c:numCache>
            </c:numRef>
          </c:val>
        </c:ser>
        <c:ser>
          <c:idx val="1"/>
          <c:order val="4"/>
          <c:tx>
            <c:strRef>
              <c:f>Расчёты!$A$273</c:f>
              <c:strCache>
                <c:ptCount val="1"/>
                <c:pt idx="0">
                  <c:v>W(O)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Расчёты!$B$273:$IV$273</c:f>
              <c:numCache>
                <c:ptCount val="26"/>
                <c:pt idx="0">
                  <c:v>38.87410546172345</c:v>
                </c:pt>
                <c:pt idx="1">
                  <c:v>28.28181980084411</c:v>
                </c:pt>
                <c:pt idx="2">
                  <c:v>14.784402822890376</c:v>
                </c:pt>
                <c:pt idx="3">
                  <c:v>0.17378553336783803</c:v>
                </c:pt>
                <c:pt idx="4">
                  <c:v>-15.571563586916701</c:v>
                </c:pt>
                <c:pt idx="5">
                  <c:v>-31.601907007372965</c:v>
                </c:pt>
                <c:pt idx="6">
                  <c:v>-45.101244492497045</c:v>
                </c:pt>
                <c:pt idx="7">
                  <c:v>-51.53748356359245</c:v>
                </c:pt>
                <c:pt idx="8">
                  <c:v>-49.06342154318358</c:v>
                </c:pt>
                <c:pt idx="9">
                  <c:v>-41.994149137079276</c:v>
                </c:pt>
                <c:pt idx="10">
                  <c:v>-35.469123864367546</c:v>
                </c:pt>
                <c:pt idx="11">
                  <c:v>-30.75084790316921</c:v>
                </c:pt>
                <c:pt idx="12">
                  <c:v>-26.814282551871155</c:v>
                </c:pt>
                <c:pt idx="13">
                  <c:v>-22.465796772167813</c:v>
                </c:pt>
                <c:pt idx="14">
                  <c:v>-16.919525349122203</c:v>
                </c:pt>
                <c:pt idx="15">
                  <c:v>-9.712816297498515</c:v>
                </c:pt>
                <c:pt idx="16">
                  <c:v>-0.46563506474683686</c:v>
                </c:pt>
                <c:pt idx="17">
                  <c:v>11.509356198092778</c:v>
                </c:pt>
                <c:pt idx="18">
                  <c:v>27.54279178544958</c:v>
                </c:pt>
                <c:pt idx="19">
                  <c:v>48.50654572467523</c:v>
                </c:pt>
                <c:pt idx="20">
                  <c:v>71.2387543610487</c:v>
                </c:pt>
                <c:pt idx="21">
                  <c:v>87.14123575219556</c:v>
                </c:pt>
                <c:pt idx="22">
                  <c:v>88.72922526406337</c:v>
                </c:pt>
                <c:pt idx="23">
                  <c:v>77.11837775933195</c:v>
                </c:pt>
                <c:pt idx="24">
                  <c:v>60.151643571673524</c:v>
                </c:pt>
              </c:numCache>
            </c:numRef>
          </c:val>
        </c:ser>
        <c:axId val="3520719"/>
        <c:axId val="31686472"/>
        <c:axId val="16742793"/>
      </c:area3DChart>
      <c:catAx>
        <c:axId val="352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86472"/>
        <c:crosses val="autoZero"/>
        <c:auto val="1"/>
        <c:lblOffset val="100"/>
        <c:noMultiLvlLbl val="0"/>
      </c:catAx>
      <c:valAx>
        <c:axId val="3168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719"/>
        <c:crossesAt val="1"/>
        <c:crossBetween val="midCat"/>
        <c:dispUnits/>
      </c:valAx>
      <c:serAx>
        <c:axId val="16742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864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35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0"/>
    </c:view3D>
    <c:plotArea>
      <c:layout>
        <c:manualLayout>
          <c:xMode val="edge"/>
          <c:yMode val="edge"/>
          <c:x val="0.00975"/>
          <c:y val="0.06275"/>
          <c:w val="0.86625"/>
          <c:h val="0.92625"/>
        </c:manualLayout>
      </c:layout>
      <c:area3DChart>
        <c:grouping val="standard"/>
        <c:varyColors val="0"/>
        <c:ser>
          <c:idx val="2"/>
          <c:order val="0"/>
          <c:tx>
            <c:strRef>
              <c:f>Расчёты!$A$280</c:f>
              <c:strCache>
                <c:ptCount val="1"/>
                <c:pt idx="0">
                  <c:v>W(C3)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Расчёты!$B$280:$IV$280</c:f>
              <c:numCache>
                <c:ptCount val="26"/>
                <c:pt idx="0">
                  <c:v>-0.5616519475568509</c:v>
                </c:pt>
                <c:pt idx="1">
                  <c:v>-1.735341426427386</c:v>
                </c:pt>
                <c:pt idx="2">
                  <c:v>-3.0425154781618176</c:v>
                </c:pt>
                <c:pt idx="3">
                  <c:v>-4.648172720345088</c:v>
                </c:pt>
                <c:pt idx="4">
                  <c:v>-6.630402861977525</c:v>
                </c:pt>
                <c:pt idx="5">
                  <c:v>-8.740986680923873</c:v>
                </c:pt>
                <c:pt idx="6">
                  <c:v>-10.069807206295888</c:v>
                </c:pt>
                <c:pt idx="7">
                  <c:v>-9.260217478277122</c:v>
                </c:pt>
                <c:pt idx="8">
                  <c:v>-6.138553799646193</c:v>
                </c:pt>
                <c:pt idx="9">
                  <c:v>-2.403096218736107</c:v>
                </c:pt>
                <c:pt idx="10">
                  <c:v>0.5423913701036699</c:v>
                </c:pt>
                <c:pt idx="11">
                  <c:v>2.576335716894918</c:v>
                </c:pt>
                <c:pt idx="12">
                  <c:v>4.044317321626842</c:v>
                </c:pt>
                <c:pt idx="13">
                  <c:v>5.223217627302921</c:v>
                </c:pt>
                <c:pt idx="14">
                  <c:v>6.245619711601318</c:v>
                </c:pt>
                <c:pt idx="15">
                  <c:v>7.1300291990834515</c:v>
                </c:pt>
                <c:pt idx="16">
                  <c:v>7.802508290131705</c:v>
                </c:pt>
                <c:pt idx="17">
                  <c:v>8.112221470845919</c:v>
                </c:pt>
                <c:pt idx="18">
                  <c:v>7.868252616288924</c:v>
                </c:pt>
                <c:pt idx="19">
                  <c:v>6.921485218307539</c:v>
                </c:pt>
                <c:pt idx="20">
                  <c:v>5.285994033368262</c:v>
                </c:pt>
                <c:pt idx="21">
                  <c:v>3.242713683477176</c:v>
                </c:pt>
                <c:pt idx="22">
                  <c:v>1.3318208647411196</c:v>
                </c:pt>
                <c:pt idx="23">
                  <c:v>0.1688907581741388</c:v>
                </c:pt>
                <c:pt idx="24">
                  <c:v>0.1139264480981339</c:v>
                </c:pt>
              </c:numCache>
            </c:numRef>
          </c:val>
        </c:ser>
        <c:ser>
          <c:idx val="0"/>
          <c:order val="1"/>
          <c:tx>
            <c:strRef>
              <c:f>Расчёты!$A$278</c:f>
              <c:strCache>
                <c:ptCount val="1"/>
                <c:pt idx="0">
                  <c:v>W(C1)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Расчёты!$B$278:$IV$278</c:f>
              <c:numCache>
                <c:ptCount val="26"/>
                <c:pt idx="0">
                  <c:v>4.905</c:v>
                </c:pt>
                <c:pt idx="1">
                  <c:v>3.9895617282111617</c:v>
                </c:pt>
                <c:pt idx="2">
                  <c:v>2.810493247159099</c:v>
                </c:pt>
                <c:pt idx="3">
                  <c:v>1.438755405155526</c:v>
                </c:pt>
                <c:pt idx="4">
                  <c:v>-0.043281249156898766</c:v>
                </c:pt>
                <c:pt idx="5">
                  <c:v>-1.54549103109771</c:v>
                </c:pt>
                <c:pt idx="6">
                  <c:v>-2.974142977339012</c:v>
                </c:pt>
                <c:pt idx="7">
                  <c:v>-4.236524692329947</c:v>
                </c:pt>
                <c:pt idx="8">
                  <c:v>-5.24595599257314</c:v>
                </c:pt>
                <c:pt idx="9">
                  <c:v>-5.927020211955676</c:v>
                </c:pt>
                <c:pt idx="10">
                  <c:v>-6.220744423358947</c:v>
                </c:pt>
                <c:pt idx="11">
                  <c:v>-6.089374002029119</c:v>
                </c:pt>
                <c:pt idx="12">
                  <c:v>-5.520330421372863</c:v>
                </c:pt>
                <c:pt idx="13">
                  <c:v>-4.528928096863932</c:v>
                </c:pt>
                <c:pt idx="14">
                  <c:v>-3.159464075766388</c:v>
                </c:pt>
                <c:pt idx="15">
                  <c:v>-1.4843836493410443</c:v>
                </c:pt>
                <c:pt idx="16">
                  <c:v>0.39864111415926295</c:v>
                </c:pt>
                <c:pt idx="17">
                  <c:v>2.3717165689432713</c:v>
                </c:pt>
                <c:pt idx="18">
                  <c:v>4.303630288083632</c:v>
                </c:pt>
                <c:pt idx="19">
                  <c:v>6.058283928269722</c:v>
                </c:pt>
                <c:pt idx="20">
                  <c:v>7.504126483361656</c:v>
                </c:pt>
                <c:pt idx="21">
                  <c:v>8.523931557988531</c:v>
                </c:pt>
                <c:pt idx="22">
                  <c:v>9.0241842848378</c:v>
                </c:pt>
                <c:pt idx="23">
                  <c:v>8.943323335181514</c:v>
                </c:pt>
                <c:pt idx="24">
                  <c:v>8.258125484534874</c:v>
                </c:pt>
              </c:numCache>
            </c:numRef>
          </c:val>
        </c:ser>
        <c:ser>
          <c:idx val="3"/>
          <c:order val="2"/>
          <c:tx>
            <c:strRef>
              <c:f>Расчёты!$A$281</c:f>
              <c:strCache>
                <c:ptCount val="1"/>
                <c:pt idx="0">
                  <c:v>W(C4)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Расчёты!$B$281:$IV$281</c:f>
              <c:numCache>
                <c:ptCount val="26"/>
                <c:pt idx="0">
                  <c:v>4.634226513615134</c:v>
                </c:pt>
                <c:pt idx="1">
                  <c:v>2.9821148554428762</c:v>
                </c:pt>
                <c:pt idx="2">
                  <c:v>0.9104173454820045</c:v>
                </c:pt>
                <c:pt idx="3">
                  <c:v>-1.0625304778736</c:v>
                </c:pt>
                <c:pt idx="4">
                  <c:v>-2.9428275214836868</c:v>
                </c:pt>
                <c:pt idx="5">
                  <c:v>-4.657663915505159</c:v>
                </c:pt>
                <c:pt idx="6">
                  <c:v>-5.903415052917368</c:v>
                </c:pt>
                <c:pt idx="7">
                  <c:v>-6.151136131102605</c:v>
                </c:pt>
                <c:pt idx="8">
                  <c:v>-5.191154182650293</c:v>
                </c:pt>
                <c:pt idx="9">
                  <c:v>-3.659195431971497</c:v>
                </c:pt>
                <c:pt idx="10">
                  <c:v>-2.3822001705835714</c:v>
                </c:pt>
                <c:pt idx="11">
                  <c:v>-1.6489390172057872</c:v>
                </c:pt>
                <c:pt idx="12">
                  <c:v>-1.372076256360006</c:v>
                </c:pt>
                <c:pt idx="13">
                  <c:v>-1.3926706770338992</c:v>
                </c:pt>
                <c:pt idx="14">
                  <c:v>-1.5627988657064498</c:v>
                </c:pt>
                <c:pt idx="15">
                  <c:v>-1.7191819569322082</c:v>
                </c:pt>
                <c:pt idx="16">
                  <c:v>-1.625152669827459</c:v>
                </c:pt>
                <c:pt idx="17">
                  <c:v>-0.8819322307089819</c:v>
                </c:pt>
                <c:pt idx="18">
                  <c:v>1.1236127638318605</c:v>
                </c:pt>
                <c:pt idx="19">
                  <c:v>4.871519504807271</c:v>
                </c:pt>
                <c:pt idx="20">
                  <c:v>9.71123937325676</c:v>
                </c:pt>
                <c:pt idx="21">
                  <c:v>13.432930919535476</c:v>
                </c:pt>
                <c:pt idx="22">
                  <c:v>13.92552006007569</c:v>
                </c:pt>
                <c:pt idx="23">
                  <c:v>11.178865741975567</c:v>
                </c:pt>
                <c:pt idx="24">
                  <c:v>6.9938804164098105</c:v>
                </c:pt>
              </c:numCache>
            </c:numRef>
          </c:val>
        </c:ser>
        <c:ser>
          <c:idx val="1"/>
          <c:order val="3"/>
          <c:tx>
            <c:strRef>
              <c:f>Расчёты!$A$279</c:f>
              <c:strCache>
                <c:ptCount val="1"/>
                <c:pt idx="0">
                  <c:v>W(C2)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Расчёты!$B$279:$IV$279</c:f>
              <c:numCache>
                <c:ptCount val="26"/>
                <c:pt idx="0">
                  <c:v>17.991822511644568</c:v>
                </c:pt>
                <c:pt idx="1">
                  <c:v>16.513875044096384</c:v>
                </c:pt>
                <c:pt idx="2">
                  <c:v>13.876536716386877</c:v>
                </c:pt>
                <c:pt idx="3">
                  <c:v>10.086185753238215</c:v>
                </c:pt>
                <c:pt idx="4">
                  <c:v>5.231614214696338</c:v>
                </c:pt>
                <c:pt idx="5">
                  <c:v>-0.42555207688304203</c:v>
                </c:pt>
                <c:pt idx="6">
                  <c:v>-6.3150364011290145</c:v>
                </c:pt>
                <c:pt idx="7">
                  <c:v>-11.573810306315961</c:v>
                </c:pt>
                <c:pt idx="8">
                  <c:v>-15.616118752632724</c:v>
                </c:pt>
                <c:pt idx="9">
                  <c:v>-18.610851234063986</c:v>
                </c:pt>
                <c:pt idx="10">
                  <c:v>-20.837704382085207</c:v>
                </c:pt>
                <c:pt idx="11">
                  <c:v>-22.14794683833622</c:v>
                </c:pt>
                <c:pt idx="12">
                  <c:v>-22.187458281614123</c:v>
                </c:pt>
                <c:pt idx="13">
                  <c:v>-20.678139014185213</c:v>
                </c:pt>
                <c:pt idx="14">
                  <c:v>-17.525147543357296</c:v>
                </c:pt>
                <c:pt idx="15">
                  <c:v>-12.843271719549714</c:v>
                </c:pt>
                <c:pt idx="16">
                  <c:v>-6.955573312939223</c:v>
                </c:pt>
                <c:pt idx="17">
                  <c:v>-0.364600288609745</c:v>
                </c:pt>
                <c:pt idx="18">
                  <c:v>6.318772068776144</c:v>
                </c:pt>
                <c:pt idx="19">
                  <c:v>12.493892146917275</c:v>
                </c:pt>
                <c:pt idx="20">
                  <c:v>17.71125386145507</c:v>
                </c:pt>
                <c:pt idx="21">
                  <c:v>21.775909514077746</c:v>
                </c:pt>
                <c:pt idx="22">
                  <c:v>24.745596424119036</c:v>
                </c:pt>
                <c:pt idx="23">
                  <c:v>26.796649708686473</c:v>
                </c:pt>
                <c:pt idx="24">
                  <c:v>28.00148140023766</c:v>
                </c:pt>
              </c:numCache>
            </c:numRef>
          </c:val>
        </c:ser>
        <c:ser>
          <c:idx val="4"/>
          <c:order val="4"/>
          <c:tx>
            <c:strRef>
              <c:f>Расчёты!$A$282</c:f>
              <c:strCache>
                <c:ptCount val="1"/>
                <c:pt idx="0">
                  <c:v>W(C5)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Расчёты!$B$19:$Z$19</c:f>
              <c:numCache>
                <c:ptCount val="25"/>
                <c:pt idx="0">
                  <c:v>1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91</c:v>
                </c:pt>
                <c:pt idx="7">
                  <c:v>106</c:v>
                </c:pt>
                <c:pt idx="8">
                  <c:v>121</c:v>
                </c:pt>
                <c:pt idx="9">
                  <c:v>136</c:v>
                </c:pt>
                <c:pt idx="10">
                  <c:v>151</c:v>
                </c:pt>
                <c:pt idx="11">
                  <c:v>166</c:v>
                </c:pt>
                <c:pt idx="12">
                  <c:v>181</c:v>
                </c:pt>
                <c:pt idx="13">
                  <c:v>196</c:v>
                </c:pt>
                <c:pt idx="14">
                  <c:v>211</c:v>
                </c:pt>
                <c:pt idx="15">
                  <c:v>226</c:v>
                </c:pt>
                <c:pt idx="16">
                  <c:v>241</c:v>
                </c:pt>
                <c:pt idx="17">
                  <c:v>256</c:v>
                </c:pt>
                <c:pt idx="18">
                  <c:v>271</c:v>
                </c:pt>
                <c:pt idx="19">
                  <c:v>286</c:v>
                </c:pt>
                <c:pt idx="20">
                  <c:v>301</c:v>
                </c:pt>
                <c:pt idx="21">
                  <c:v>316</c:v>
                </c:pt>
                <c:pt idx="22">
                  <c:v>331</c:v>
                </c:pt>
                <c:pt idx="23">
                  <c:v>346</c:v>
                </c:pt>
                <c:pt idx="24">
                  <c:v>361</c:v>
                </c:pt>
              </c:numCache>
            </c:numRef>
          </c:cat>
          <c:val>
            <c:numRef>
              <c:f>Расчёты!$B$282:$IV$282</c:f>
              <c:numCache>
                <c:ptCount val="26"/>
                <c:pt idx="0">
                  <c:v>12.21043128424617</c:v>
                </c:pt>
                <c:pt idx="1">
                  <c:v>7.371770975345496</c:v>
                </c:pt>
                <c:pt idx="2">
                  <c:v>1.4698479672018856</c:v>
                </c:pt>
                <c:pt idx="3">
                  <c:v>-4.100066814237151</c:v>
                </c:pt>
                <c:pt idx="4">
                  <c:v>-9.413880770758814</c:v>
                </c:pt>
                <c:pt idx="5">
                  <c:v>-14.32018945390184</c:v>
                </c:pt>
                <c:pt idx="6">
                  <c:v>-17.984397802118018</c:v>
                </c:pt>
                <c:pt idx="7">
                  <c:v>-18.80941438517387</c:v>
                </c:pt>
                <c:pt idx="8">
                  <c:v>-15.93189813976976</c:v>
                </c:pt>
                <c:pt idx="9">
                  <c:v>-11.029025121634202</c:v>
                </c:pt>
                <c:pt idx="10">
                  <c:v>-6.655187148357818</c:v>
                </c:pt>
                <c:pt idx="11">
                  <c:v>-3.862671543749243</c:v>
                </c:pt>
                <c:pt idx="12">
                  <c:v>-2.50211085894504</c:v>
                </c:pt>
                <c:pt idx="13">
                  <c:v>-2.147484652165097</c:v>
                </c:pt>
                <c:pt idx="14">
                  <c:v>-2.3830004699502125</c:v>
                </c:pt>
                <c:pt idx="15">
                  <c:v>-2.7440844400373963</c:v>
                </c:pt>
                <c:pt idx="16">
                  <c:v>-2.557351171944294</c:v>
                </c:pt>
                <c:pt idx="17">
                  <c:v>-0.6875329757496457</c:v>
                </c:pt>
                <c:pt idx="18">
                  <c:v>4.623681271396679</c:v>
                </c:pt>
                <c:pt idx="19">
                  <c:v>14.770707324336609</c:v>
                </c:pt>
                <c:pt idx="20">
                  <c:v>27.896074227694317</c:v>
                </c:pt>
                <c:pt idx="21">
                  <c:v>37.658935651908166</c:v>
                </c:pt>
                <c:pt idx="22">
                  <c:v>38.106680404338796</c:v>
                </c:pt>
                <c:pt idx="23">
                  <c:v>29.48740136700263</c:v>
                </c:pt>
                <c:pt idx="24">
                  <c:v>17.267277706975527</c:v>
                </c:pt>
              </c:numCache>
            </c:numRef>
          </c:val>
        </c:ser>
        <c:axId val="16467410"/>
        <c:axId val="13988963"/>
        <c:axId val="58791804"/>
      </c:area3D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88963"/>
        <c:crosses val="autoZero"/>
        <c:auto val="1"/>
        <c:lblOffset val="100"/>
        <c:noMultiLvlLbl val="0"/>
      </c:catAx>
      <c:valAx>
        <c:axId val="1398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7410"/>
        <c:crossesAt val="1"/>
        <c:crossBetween val="midCat"/>
        <c:dispUnits/>
      </c:valAx>
      <c:serAx>
        <c:axId val="58791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88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311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Расчёты!$A$32</c:f>
              <c:strCache>
                <c:ptCount val="1"/>
                <c:pt idx="0">
                  <c:v>(Y)A=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Расчёты!$B$32:$IV$32</c:f>
              <c:numCache>
                <c:ptCount val="26"/>
                <c:pt idx="0">
                  <c:v>0.01745240643728351</c:v>
                </c:pt>
                <c:pt idx="1">
                  <c:v>0.2756373558169992</c:v>
                </c:pt>
                <c:pt idx="2">
                  <c:v>0.5150380749100542</c:v>
                </c:pt>
                <c:pt idx="3">
                  <c:v>0.7193398003386511</c:v>
                </c:pt>
                <c:pt idx="4">
                  <c:v>0.8746197071393957</c:v>
                </c:pt>
                <c:pt idx="5">
                  <c:v>0.9702957262759966</c:v>
                </c:pt>
                <c:pt idx="6">
                  <c:v>0.9998476951563913</c:v>
                </c:pt>
                <c:pt idx="7">
                  <c:v>0.9612616959383189</c:v>
                </c:pt>
                <c:pt idx="8">
                  <c:v>0.8571673007021121</c:v>
                </c:pt>
                <c:pt idx="9">
                  <c:v>0.694658370458997</c:v>
                </c:pt>
                <c:pt idx="10">
                  <c:v>0.484809620246337</c:v>
                </c:pt>
                <c:pt idx="11">
                  <c:v>0.24192189559966756</c:v>
                </c:pt>
                <c:pt idx="12">
                  <c:v>-0.017452406437283834</c:v>
                </c:pt>
                <c:pt idx="13">
                  <c:v>-0.2756373558169992</c:v>
                </c:pt>
                <c:pt idx="14">
                  <c:v>-0.5150380749100544</c:v>
                </c:pt>
                <c:pt idx="15">
                  <c:v>-0.7193398003386513</c:v>
                </c:pt>
                <c:pt idx="16">
                  <c:v>-0.874619707139396</c:v>
                </c:pt>
                <c:pt idx="17">
                  <c:v>-0.9702957262759966</c:v>
                </c:pt>
                <c:pt idx="18">
                  <c:v>-0.9998476951563913</c:v>
                </c:pt>
                <c:pt idx="19">
                  <c:v>-0.9612616959383188</c:v>
                </c:pt>
                <c:pt idx="20">
                  <c:v>-0.8571673007021123</c:v>
                </c:pt>
                <c:pt idx="21">
                  <c:v>-0.6946583704589975</c:v>
                </c:pt>
                <c:pt idx="22">
                  <c:v>-0.4848096202463367</c:v>
                </c:pt>
                <c:pt idx="23">
                  <c:v>-0.24192189559966767</c:v>
                </c:pt>
                <c:pt idx="24">
                  <c:v>0.017452406437283265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Расчёты!$A$34</c:f>
              <c:strCache>
                <c:ptCount val="1"/>
                <c:pt idx="0">
                  <c:v>(Y_t)A=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Расчёты!$B$34:$IV$34</c:f>
              <c:numCache>
                <c:ptCount val="26"/>
                <c:pt idx="0">
                  <c:v>0.9998476951563913</c:v>
                </c:pt>
                <c:pt idx="1">
                  <c:v>0.9612616959383189</c:v>
                </c:pt>
                <c:pt idx="2">
                  <c:v>0.8594113594477651</c:v>
                </c:pt>
                <c:pt idx="3">
                  <c:v>0.700114204542469</c:v>
                </c:pt>
                <c:pt idx="4">
                  <c:v>0.49241504948418424</c:v>
                </c:pt>
                <c:pt idx="5">
                  <c:v>0.24823069246180693</c:v>
                </c:pt>
                <c:pt idx="6">
                  <c:v>-0.018132450235140343</c:v>
                </c:pt>
                <c:pt idx="7">
                  <c:v>-0.29059739751518765</c:v>
                </c:pt>
                <c:pt idx="8">
                  <c:v>-0.5520760173978629</c:v>
                </c:pt>
                <c:pt idx="9">
                  <c:v>-0.7853599212537229</c:v>
                </c:pt>
                <c:pt idx="10">
                  <c:v>-0.9741164258986426</c:v>
                </c:pt>
                <c:pt idx="11">
                  <c:v>-1.1039434242441348</c:v>
                </c:pt>
                <c:pt idx="12">
                  <c:v>-1.163418415815389</c:v>
                </c:pt>
                <c:pt idx="13">
                  <c:v>-1.1450628423928029</c:v>
                </c:pt>
                <c:pt idx="14">
                  <c:v>-1.0461359634747374</c:v>
                </c:pt>
                <c:pt idx="15">
                  <c:v>-0.8691745037693845</c:v>
                </c:pt>
                <c:pt idx="16">
                  <c:v>-0.6222057493499356</c:v>
                </c:pt>
                <c:pt idx="17">
                  <c:v>-0.3185820392217236</c:v>
                </c:pt>
                <c:pt idx="18">
                  <c:v>0.023587935727478894</c:v>
                </c:pt>
                <c:pt idx="19">
                  <c:v>0.38240335963448535</c:v>
                </c:pt>
                <c:pt idx="20">
                  <c:v>0.7334892386133307</c:v>
                </c:pt>
                <c:pt idx="21">
                  <c:v>1.0515933571262222</c:v>
                </c:pt>
                <c:pt idx="22">
                  <c:v>1.3123589155949789</c:v>
                </c:pt>
                <c:pt idx="23">
                  <c:v>1.4941479213153033</c:v>
                </c:pt>
                <c:pt idx="24">
                  <c:v>1.5797780071221155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Расчёты!$A$36</c:f>
              <c:strCache>
                <c:ptCount val="1"/>
                <c:pt idx="0">
                  <c:v>(Y_tt)A=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Расчёты!$B$36:$IV$36</c:f>
              <c:numCache>
                <c:ptCount val="26"/>
                <c:pt idx="0">
                  <c:v>-0.01745240643728351</c:v>
                </c:pt>
                <c:pt idx="1">
                  <c:v>-0.266024738857616</c:v>
                </c:pt>
                <c:pt idx="2">
                  <c:v>-0.5005949919654191</c:v>
                </c:pt>
                <c:pt idx="3">
                  <c:v>-0.709843784881145</c:v>
                </c:pt>
                <c:pt idx="4">
                  <c:v>-0.8828836780512901</c:v>
                </c:pt>
                <c:pt idx="5">
                  <c:v>-1.0094658883110583</c:v>
                </c:pt>
                <c:pt idx="6">
                  <c:v>-1.080332293833914</c:v>
                </c:pt>
                <c:pt idx="7">
                  <c:v>-1.0877316365700953</c:v>
                </c:pt>
                <c:pt idx="8">
                  <c:v>-1.0260861476312633</c:v>
                </c:pt>
                <c:pt idx="9">
                  <c:v>-0.8927600771000096</c:v>
                </c:pt>
                <c:pt idx="10">
                  <c:v>-0.688849537111847</c:v>
                </c:pt>
                <c:pt idx="11">
                  <c:v>-0.4198884119694414</c:v>
                </c:pt>
                <c:pt idx="12">
                  <c:v>-0.09635195383624942</c:v>
                </c:pt>
                <c:pt idx="13">
                  <c:v>0.2661590601105326</c:v>
                </c:pt>
                <c:pt idx="14">
                  <c:v>0.6471538571878457</c:v>
                </c:pt>
                <c:pt idx="15">
                  <c:v>1.0219752539116123</c:v>
                </c:pt>
                <c:pt idx="16">
                  <c:v>1.3630352031791622</c:v>
                </c:pt>
                <c:pt idx="17">
                  <c:v>1.6415331605082488</c:v>
                </c:pt>
                <c:pt idx="18">
                  <c:v>1.8295716535454896</c:v>
                </c:pt>
                <c:pt idx="19">
                  <c:v>1.9025293840349695</c:v>
                </c:pt>
                <c:pt idx="20">
                  <c:v>1.8415064981337665</c:v>
                </c:pt>
                <c:pt idx="21">
                  <c:v>1.635624798452562</c:v>
                </c:pt>
                <c:pt idx="22">
                  <c:v>1.28395208385652</c:v>
                </c:pt>
                <c:pt idx="23">
                  <c:v>0.7968274373040634</c:v>
                </c:pt>
                <c:pt idx="24">
                  <c:v>0.19639423077219978</c:v>
                </c:pt>
              </c:numCache>
            </c:numRef>
          </c:val>
          <c:smooth val="0"/>
        </c:ser>
        <c:marker val="1"/>
        <c:axId val="59364189"/>
        <c:axId val="64515654"/>
      </c:line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15654"/>
        <c:crosses val="autoZero"/>
        <c:auto val="1"/>
        <c:lblOffset val="100"/>
        <c:noMultiLvlLbl val="0"/>
      </c:catAx>
      <c:valAx>
        <c:axId val="6451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Расчёты!$A$45</c:f>
              <c:strCache>
                <c:ptCount val="1"/>
                <c:pt idx="0">
                  <c:v>h(t)=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Расчёты!$B$45:$Z$45</c:f>
              <c:numCache>
                <c:ptCount val="25"/>
                <c:pt idx="0">
                  <c:v>0.9396926207859085</c:v>
                </c:pt>
                <c:pt idx="1">
                  <c:v>0.9961946980917457</c:v>
                </c:pt>
                <c:pt idx="2">
                  <c:v>0.9873859736805928</c:v>
                </c:pt>
                <c:pt idx="3">
                  <c:v>0.913425911750764</c:v>
                </c:pt>
                <c:pt idx="4">
                  <c:v>0.7780617310643515</c:v>
                </c:pt>
                <c:pt idx="5">
                  <c:v>0.588534062294241</c:v>
                </c:pt>
                <c:pt idx="6">
                  <c:v>0.3553471694894573</c:v>
                </c:pt>
                <c:pt idx="7">
                  <c:v>0.09188606510137876</c:v>
                </c:pt>
                <c:pt idx="8">
                  <c:v>-0.18613574223905233</c:v>
                </c:pt>
                <c:pt idx="9">
                  <c:v>-0.46140564529420675</c:v>
                </c:pt>
                <c:pt idx="10">
                  <c:v>-0.7159111141089214</c:v>
                </c:pt>
                <c:pt idx="11">
                  <c:v>-0.9319813416263046</c:v>
                </c:pt>
                <c:pt idx="12">
                  <c:v>-1.0934222337304595</c:v>
                </c:pt>
                <c:pt idx="13">
                  <c:v>-1.1866753220204977</c:v>
                </c:pt>
                <c:pt idx="14">
                  <c:v>-1.201915666511004</c:v>
                </c:pt>
                <c:pt idx="15">
                  <c:v>-1.1339957230190842</c:v>
                </c:pt>
                <c:pt idx="16">
                  <c:v>-0.9831431491066813</c:v>
                </c:pt>
                <c:pt idx="17">
                  <c:v>-0.7553311794672317</c:v>
                </c:pt>
                <c:pt idx="18">
                  <c:v>-0.4622599861664009</c:v>
                </c:pt>
                <c:pt idx="19">
                  <c:v>-0.12091484747905774</c:v>
                </c:pt>
                <c:pt idx="20">
                  <c:v>0.24730029842114648</c:v>
                </c:pt>
                <c:pt idx="21">
                  <c:v>0.6178200572768601</c:v>
                </c:pt>
                <c:pt idx="22">
                  <c:v>0.964496961959798</c:v>
                </c:pt>
                <c:pt idx="23">
                  <c:v>1.2614033959657323</c:v>
                </c:pt>
                <c:pt idx="24">
                  <c:v>1.48473186762742</c:v>
                </c:pt>
              </c:numCache>
            </c:numRef>
          </c:yVal>
          <c:smooth val="1"/>
        </c:ser>
        <c:ser>
          <c:idx val="1"/>
          <c:order val="1"/>
          <c:tx>
            <c:v>Численно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Расчёты!$B$46:$Z$46</c:f>
              <c:numCache>
                <c:ptCount val="25"/>
                <c:pt idx="0">
                  <c:v>0.9735103000834398</c:v>
                </c:pt>
                <c:pt idx="1">
                  <c:v>0.9735103000834398</c:v>
                </c:pt>
                <c:pt idx="2">
                  <c:v>0.9961975946814479</c:v>
                </c:pt>
                <c:pt idx="3">
                  <c:v>0.9534853703370211</c:v>
                </c:pt>
                <c:pt idx="4">
                  <c:v>0.847590041467972</c:v>
                </c:pt>
                <c:pt idx="5">
                  <c:v>0.6842305678767419</c:v>
                </c:pt>
                <c:pt idx="6">
                  <c:v>0.4724381275237907</c:v>
                </c:pt>
                <c:pt idx="7">
                  <c:v>0.22423167657145104</c:v>
                </c:pt>
                <c:pt idx="8">
                  <c:v>-0.0458555856932384</c:v>
                </c:pt>
                <c:pt idx="9">
                  <c:v>-0.3214107419038737</c:v>
                </c:pt>
                <c:pt idx="10">
                  <c:v>-0.5849384987388507</c:v>
                </c:pt>
                <c:pt idx="11">
                  <c:v>-0.8188069682336117</c:v>
                </c:pt>
                <c:pt idx="12">
                  <c:v>-1.006307385531733</c:v>
                </c:pt>
                <c:pt idx="13">
                  <c:v>-1.1327723378167949</c:v>
                </c:pt>
                <c:pt idx="14">
                  <c:v>-1.186678772461988</c:v>
                </c:pt>
                <c:pt idx="15">
                  <c:v>-1.1606494673255618</c:v>
                </c:pt>
                <c:pt idx="16">
                  <c:v>-1.0522621151134042</c:v>
                </c:pt>
                <c:pt idx="17">
                  <c:v>-0.8645799791453237</c:v>
                </c:pt>
                <c:pt idx="18">
                  <c:v>-0.6063323619651898</c:v>
                </c:pt>
                <c:pt idx="19">
                  <c:v>-0.2916959542942522</c:v>
                </c:pt>
                <c:pt idx="20">
                  <c:v>0.06034235054078646</c:v>
                </c:pt>
                <c:pt idx="21">
                  <c:v>0.4270269182718701</c:v>
                </c:pt>
                <c:pt idx="22">
                  <c:v>0.7832299853285236</c:v>
                </c:pt>
                <c:pt idx="23">
                  <c:v>1.103121348068187</c:v>
                </c:pt>
                <c:pt idx="24">
                  <c:v>1.362001036716135</c:v>
                </c:pt>
              </c:numCache>
            </c:numRef>
          </c:yVal>
          <c:smooth val="1"/>
        </c:ser>
        <c:axId val="43769975"/>
        <c:axId val="58385456"/>
      </c:scatterChart>
      <c:valAx>
        <c:axId val="4376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85456"/>
        <c:crosses val="autoZero"/>
        <c:crossBetween val="midCat"/>
        <c:dispUnits/>
      </c:valAx>
      <c:valAx>
        <c:axId val="5838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9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Расчёты!$A$47</c:f>
              <c:strCache>
                <c:ptCount val="1"/>
                <c:pt idx="0">
                  <c:v>Teta(t)=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Расчёты!$B$47:$Z$47</c:f>
              <c:numCache>
                <c:ptCount val="25"/>
                <c:pt idx="0">
                  <c:v>-0.29360064056926705</c:v>
                </c:pt>
                <c:pt idx="1">
                  <c:v>-0.32731066556811345</c:v>
                </c:pt>
                <c:pt idx="2">
                  <c:v>-0.3463840844289666</c:v>
                </c:pt>
                <c:pt idx="3">
                  <c:v>-0.3474169707005448</c:v>
                </c:pt>
                <c:pt idx="4">
                  <c:v>-0.32485062365813505</c:v>
                </c:pt>
                <c:pt idx="5">
                  <c:v>-0.27075860939122076</c:v>
                </c:pt>
                <c:pt idx="6">
                  <c:v>-0.1777329412809323</c:v>
                </c:pt>
                <c:pt idx="7">
                  <c:v>-0.0481193935141522</c:v>
                </c:pt>
                <c:pt idx="8">
                  <c:v>0.09653801442435513</c:v>
                </c:pt>
                <c:pt idx="9">
                  <c:v>0.22509724451368368</c:v>
                </c:pt>
                <c:pt idx="10">
                  <c:v>0.3190184128787642</c:v>
                </c:pt>
                <c:pt idx="11">
                  <c:v>0.376829659130326</c:v>
                </c:pt>
                <c:pt idx="12">
                  <c:v>0.40417085123291036</c:v>
                </c:pt>
                <c:pt idx="13">
                  <c:v>0.40659526131849505</c:v>
                </c:pt>
                <c:pt idx="14">
                  <c:v>0.38770226489210974</c:v>
                </c:pt>
                <c:pt idx="15">
                  <c:v>0.34951438816109337</c:v>
                </c:pt>
                <c:pt idx="16">
                  <c:v>0.2933313034680838</c:v>
                </c:pt>
                <c:pt idx="17">
                  <c:v>0.2205423498964595</c:v>
                </c:pt>
                <c:pt idx="18">
                  <c:v>0.1332587439697405</c:v>
                </c:pt>
                <c:pt idx="19">
                  <c:v>0.03466699848952938</c:v>
                </c:pt>
                <c:pt idx="20">
                  <c:v>-0.07097872160338313</c:v>
                </c:pt>
                <c:pt idx="21">
                  <c:v>-0.17870644255836202</c:v>
                </c:pt>
                <c:pt idx="22">
                  <c:v>-0.2833459185048478</c:v>
                </c:pt>
                <c:pt idx="23">
                  <c:v>-0.37995122044541413</c:v>
                </c:pt>
                <c:pt idx="24">
                  <c:v>-0.4638944882257733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Расчёты!$A$48</c:f>
              <c:strCache>
                <c:ptCount val="1"/>
                <c:pt idx="0">
                  <c:v>Численно Teta(t)=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Расчёты!$B$48:$Z$48</c:f>
              <c:numCache>
                <c:ptCount val="25"/>
                <c:pt idx="0">
                  <c:v>-0.31164184941312956</c:v>
                </c:pt>
                <c:pt idx="1">
                  <c:v>-0.31164184941312956</c:v>
                </c:pt>
                <c:pt idx="2">
                  <c:v>-0.33781018730748885</c:v>
                </c:pt>
                <c:pt idx="3">
                  <c:v>-0.34776443076655295</c:v>
                </c:pt>
                <c:pt idx="4">
                  <c:v>-0.33717861651568776</c:v>
                </c:pt>
                <c:pt idx="5">
                  <c:v>-0.299375406681058</c:v>
                </c:pt>
                <c:pt idx="6">
                  <c:v>-0.22636423893652646</c:v>
                </c:pt>
                <c:pt idx="7">
                  <c:v>-0.11472151993367377</c:v>
                </c:pt>
                <c:pt idx="8">
                  <c:v>0.023897662722373307</c:v>
                </c:pt>
                <c:pt idx="9">
                  <c:v>0.16157665671050478</c:v>
                </c:pt>
                <c:pt idx="10">
                  <c:v>0.27235332784864463</c:v>
                </c:pt>
                <c:pt idx="11">
                  <c:v>0.34695659751480395</c:v>
                </c:pt>
                <c:pt idx="12">
                  <c:v>0.38838477140677335</c:v>
                </c:pt>
                <c:pt idx="13">
                  <c:v>0.40256590096975414</c:v>
                </c:pt>
                <c:pt idx="14">
                  <c:v>0.3940862715510971</c:v>
                </c:pt>
                <c:pt idx="15">
                  <c:v>0.3656830256508608</c:v>
                </c:pt>
                <c:pt idx="16">
                  <c:v>0.3189356435327315</c:v>
                </c:pt>
                <c:pt idx="17">
                  <c:v>0.2551114237356772</c:v>
                </c:pt>
                <c:pt idx="18">
                  <c:v>0.17588939019965977</c:v>
                </c:pt>
                <c:pt idx="19">
                  <c:v>0.08385756498628308</c:v>
                </c:pt>
                <c:pt idx="20">
                  <c:v>-0.01730979184462234</c:v>
                </c:pt>
                <c:pt idx="21">
                  <c:v>-0.1230337695078891</c:v>
                </c:pt>
                <c:pt idx="22">
                  <c:v>-0.2282773913353841</c:v>
                </c:pt>
                <c:pt idx="23">
                  <c:v>-0.3280316567984312</c:v>
                </c:pt>
                <c:pt idx="24">
                  <c:v>-0.4175848678416482</c:v>
                </c:pt>
              </c:numCache>
            </c:numRef>
          </c:yVal>
          <c:smooth val="1"/>
        </c:ser>
        <c:axId val="55707057"/>
        <c:axId val="31601466"/>
      </c:scatterChart>
      <c:valAx>
        <c:axId val="5570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466"/>
        <c:crosses val="autoZero"/>
        <c:crossBetween val="midCat"/>
        <c:dispUnits/>
      </c:valAx>
      <c:valAx>
        <c:axId val="3160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07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Расчёты!$A$49</c:f>
              <c:strCache>
                <c:ptCount val="1"/>
                <c:pt idx="0">
                  <c:v>h(tt)=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Расчёты!$B$49:$Z$49</c:f>
              <c:numCache>
                <c:ptCount val="25"/>
                <c:pt idx="0">
                  <c:v>0.3420201433256687</c:v>
                </c:pt>
                <c:pt idx="1">
                  <c:v>0.2807866315177995</c:v>
                </c:pt>
                <c:pt idx="2">
                  <c:v>-0.0492192029455802</c:v>
                </c:pt>
                <c:pt idx="3">
                  <c:v>-0.42996023843644154</c:v>
                </c:pt>
                <c:pt idx="4">
                  <c:v>-0.7845819554377041</c:v>
                </c:pt>
                <c:pt idx="5">
                  <c:v>-1.0504434432026166</c:v>
                </c:pt>
                <c:pt idx="6">
                  <c:v>-1.1759010328873907</c:v>
                </c:pt>
                <c:pt idx="7">
                  <c:v>-1.13048671225881</c:v>
                </c:pt>
                <c:pt idx="8">
                  <c:v>-0.9414258740264767</c:v>
                </c:pt>
                <c:pt idx="9">
                  <c:v>-0.6947386199314566</c:v>
                </c:pt>
                <c:pt idx="10">
                  <c:v>-0.46038996733994086</c:v>
                </c:pt>
                <c:pt idx="11">
                  <c:v>-0.25355456806713517</c:v>
                </c:pt>
                <c:pt idx="12">
                  <c:v>-0.07361767307430334</c:v>
                </c:pt>
                <c:pt idx="13">
                  <c:v>0.07346449511560622</c:v>
                </c:pt>
                <c:pt idx="14">
                  <c:v>0.1810995989679327</c:v>
                </c:pt>
                <c:pt idx="15">
                  <c:v>0.24899307115401625</c:v>
                </c:pt>
                <c:pt idx="16">
                  <c:v>0.2848167257868505</c:v>
                </c:pt>
                <c:pt idx="17">
                  <c:v>0.3029161120398192</c:v>
                </c:pt>
                <c:pt idx="18">
                  <c:v>0.3225213663457583</c:v>
                </c:pt>
                <c:pt idx="19">
                  <c:v>0.365525316086009</c:v>
                </c:pt>
                <c:pt idx="20">
                  <c:v>0.44949022459752186</c:v>
                </c:pt>
                <c:pt idx="21">
                  <c:v>0.5709822275850509</c:v>
                </c:pt>
                <c:pt idx="22">
                  <c:v>0.6871821376296541</c:v>
                </c:pt>
                <c:pt idx="23">
                  <c:v>0.7208246521030284</c:v>
                </c:pt>
                <c:pt idx="24">
                  <c:v>0.6019242682200763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Расчёты!$A$50</c:f>
              <c:strCache>
                <c:ptCount val="1"/>
                <c:pt idx="0">
                  <c:v>Численно h(tt)=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Расчёты!$B$50:$Z$50</c:f>
              <c:numCache>
                <c:ptCount val="25"/>
                <c:pt idx="0">
                  <c:v>0.21582203755642507</c:v>
                </c:pt>
                <c:pt idx="1">
                  <c:v>0.21582203755642507</c:v>
                </c:pt>
                <c:pt idx="2">
                  <c:v>0.1479226759436137</c:v>
                </c:pt>
                <c:pt idx="3">
                  <c:v>-0.1932764280832138</c:v>
                </c:pt>
                <c:pt idx="4">
                  <c:v>-0.5729192631944297</c:v>
                </c:pt>
                <c:pt idx="5">
                  <c:v>-0.8992483758739179</c:v>
                </c:pt>
                <c:pt idx="6">
                  <c:v>-1.1142352801979654</c:v>
                </c:pt>
                <c:pt idx="7">
                  <c:v>-1.1760843520940403</c:v>
                </c:pt>
                <c:pt idx="8">
                  <c:v>-1.0719736659849164</c:v>
                </c:pt>
                <c:pt idx="9">
                  <c:v>-0.8487637555806123</c:v>
                </c:pt>
                <c:pt idx="10">
                  <c:v>-0.5949971811981511</c:v>
                </c:pt>
                <c:pt idx="11">
                  <c:v>-0.3659045192004649</c:v>
                </c:pt>
                <c:pt idx="12">
                  <c:v>-0.16750100698083362</c:v>
                </c:pt>
                <c:pt idx="13">
                  <c:v>0.0012375718105586495</c:v>
                </c:pt>
                <c:pt idx="14">
                  <c:v>0.13447508720017476</c:v>
                </c:pt>
                <c:pt idx="15">
                  <c:v>0.22760471582397876</c:v>
                </c:pt>
                <c:pt idx="16">
                  <c:v>0.28288951300219795</c:v>
                </c:pt>
                <c:pt idx="17">
                  <c:v>0.3099179874352673</c:v>
                </c:pt>
                <c:pt idx="18">
                  <c:v>0.3238497780072151</c:v>
                </c:pt>
                <c:pt idx="19">
                  <c:v>0.34375167302898474</c:v>
                </c:pt>
                <c:pt idx="20">
                  <c:v>0.3906498983070264</c:v>
                </c:pt>
                <c:pt idx="21">
                  <c:v>0.4800900964313031</c:v>
                </c:pt>
                <c:pt idx="22">
                  <c:v>0.6027364218943334</c:v>
                </c:pt>
                <c:pt idx="23">
                  <c:v>0.7035295248840713</c:v>
                </c:pt>
                <c:pt idx="24">
                  <c:v>0.6953091514125881</c:v>
                </c:pt>
              </c:numCache>
            </c:numRef>
          </c:yVal>
          <c:smooth val="1"/>
        </c:ser>
        <c:axId val="15977739"/>
        <c:axId val="9581924"/>
      </c:scatterChart>
      <c:val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1924"/>
        <c:crosses val="autoZero"/>
        <c:crossBetween val="midCat"/>
        <c:dispUnits/>
      </c:valAx>
      <c:valAx>
        <c:axId val="958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7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33350" cy="276225"/>
    <xdr:sp>
      <xdr:nvSpPr>
        <xdr:cNvPr id="1" name="TextBox 1"/>
        <xdr:cNvSpPr txBox="1">
          <a:spLocks noChangeArrowheads="1"/>
        </xdr:cNvSpPr>
      </xdr:nvSpPr>
      <xdr:spPr>
        <a:xfrm>
          <a:off x="866775" y="1619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914400</xdr:colOff>
      <xdr:row>1</xdr:row>
      <xdr:rowOff>0</xdr:rowOff>
    </xdr:from>
    <xdr:ext cx="133350" cy="276225"/>
    <xdr:sp>
      <xdr:nvSpPr>
        <xdr:cNvPr id="2" name="TextBox 2"/>
        <xdr:cNvSpPr txBox="1">
          <a:spLocks noChangeArrowheads="1"/>
        </xdr:cNvSpPr>
      </xdr:nvSpPr>
      <xdr:spPr>
        <a:xfrm>
          <a:off x="914400" y="1619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8</xdr:col>
      <xdr:colOff>361950</xdr:colOff>
      <xdr:row>290</xdr:row>
      <xdr:rowOff>19050</xdr:rowOff>
    </xdr:from>
    <xdr:to>
      <xdr:col>21</xdr:col>
      <xdr:colOff>295275</xdr:colOff>
      <xdr:row>306</xdr:row>
      <xdr:rowOff>0</xdr:rowOff>
    </xdr:to>
    <xdr:graphicFrame>
      <xdr:nvGraphicFramePr>
        <xdr:cNvPr id="3" name="Chart 67"/>
        <xdr:cNvGraphicFramePr/>
      </xdr:nvGraphicFramePr>
      <xdr:xfrm>
        <a:off x="6562725" y="47529750"/>
        <a:ext cx="6743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306</xdr:row>
      <xdr:rowOff>9525</xdr:rowOff>
    </xdr:from>
    <xdr:to>
      <xdr:col>21</xdr:col>
      <xdr:colOff>295275</xdr:colOff>
      <xdr:row>334</xdr:row>
      <xdr:rowOff>104775</xdr:rowOff>
    </xdr:to>
    <xdr:graphicFrame>
      <xdr:nvGraphicFramePr>
        <xdr:cNvPr id="4" name="Chart 68"/>
        <xdr:cNvGraphicFramePr/>
      </xdr:nvGraphicFramePr>
      <xdr:xfrm>
        <a:off x="6562725" y="50111025"/>
        <a:ext cx="67437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339</xdr:row>
      <xdr:rowOff>28575</xdr:rowOff>
    </xdr:from>
    <xdr:to>
      <xdr:col>10</xdr:col>
      <xdr:colOff>133350</xdr:colOff>
      <xdr:row>355</xdr:row>
      <xdr:rowOff>9525</xdr:rowOff>
    </xdr:to>
    <xdr:graphicFrame>
      <xdr:nvGraphicFramePr>
        <xdr:cNvPr id="5" name="Chart 69"/>
        <xdr:cNvGraphicFramePr/>
      </xdr:nvGraphicFramePr>
      <xdr:xfrm>
        <a:off x="638175" y="55473600"/>
        <a:ext cx="6743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209550</xdr:colOff>
      <xdr:row>381</xdr:row>
      <xdr:rowOff>85725</xdr:rowOff>
    </xdr:from>
    <xdr:to>
      <xdr:col>20</xdr:col>
      <xdr:colOff>161925</xdr:colOff>
      <xdr:row>411</xdr:row>
      <xdr:rowOff>85725</xdr:rowOff>
    </xdr:to>
    <xdr:graphicFrame>
      <xdr:nvGraphicFramePr>
        <xdr:cNvPr id="6" name="Chart 78"/>
        <xdr:cNvGraphicFramePr/>
      </xdr:nvGraphicFramePr>
      <xdr:xfrm>
        <a:off x="2124075" y="62331600"/>
        <a:ext cx="1052512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381000</xdr:colOff>
      <xdr:row>417</xdr:row>
      <xdr:rowOff>85725</xdr:rowOff>
    </xdr:from>
    <xdr:to>
      <xdr:col>22</xdr:col>
      <xdr:colOff>314325</xdr:colOff>
      <xdr:row>433</xdr:row>
      <xdr:rowOff>66675</xdr:rowOff>
    </xdr:to>
    <xdr:graphicFrame>
      <xdr:nvGraphicFramePr>
        <xdr:cNvPr id="7" name="Chart 81"/>
        <xdr:cNvGraphicFramePr/>
      </xdr:nvGraphicFramePr>
      <xdr:xfrm>
        <a:off x="7105650" y="68160900"/>
        <a:ext cx="67437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9</xdr:col>
      <xdr:colOff>628650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80975" y="13335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95</xdr:row>
      <xdr:rowOff>38100</xdr:rowOff>
    </xdr:from>
    <xdr:to>
      <xdr:col>10</xdr:col>
      <xdr:colOff>47625</xdr:colOff>
      <xdr:row>111</xdr:row>
      <xdr:rowOff>47625</xdr:rowOff>
    </xdr:to>
    <xdr:graphicFrame>
      <xdr:nvGraphicFramePr>
        <xdr:cNvPr id="2" name="Chart 6"/>
        <xdr:cNvGraphicFramePr/>
      </xdr:nvGraphicFramePr>
      <xdr:xfrm>
        <a:off x="276225" y="15420975"/>
        <a:ext cx="6629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95</xdr:row>
      <xdr:rowOff>57150</xdr:rowOff>
    </xdr:from>
    <xdr:to>
      <xdr:col>20</xdr:col>
      <xdr:colOff>190500</xdr:colOff>
      <xdr:row>111</xdr:row>
      <xdr:rowOff>66675</xdr:rowOff>
    </xdr:to>
    <xdr:graphicFrame>
      <xdr:nvGraphicFramePr>
        <xdr:cNvPr id="3" name="Chart 7"/>
        <xdr:cNvGraphicFramePr/>
      </xdr:nvGraphicFramePr>
      <xdr:xfrm>
        <a:off x="7286625" y="15440025"/>
        <a:ext cx="66198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112</xdr:row>
      <xdr:rowOff>66675</xdr:rowOff>
    </xdr:from>
    <xdr:to>
      <xdr:col>10</xdr:col>
      <xdr:colOff>47625</xdr:colOff>
      <xdr:row>128</xdr:row>
      <xdr:rowOff>76200</xdr:rowOff>
    </xdr:to>
    <xdr:graphicFrame>
      <xdr:nvGraphicFramePr>
        <xdr:cNvPr id="4" name="Chart 8"/>
        <xdr:cNvGraphicFramePr/>
      </xdr:nvGraphicFramePr>
      <xdr:xfrm>
        <a:off x="276225" y="18202275"/>
        <a:ext cx="66294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57150</xdr:colOff>
      <xdr:row>113</xdr:row>
      <xdr:rowOff>38100</xdr:rowOff>
    </xdr:from>
    <xdr:to>
      <xdr:col>20</xdr:col>
      <xdr:colOff>504825</xdr:colOff>
      <xdr:row>129</xdr:row>
      <xdr:rowOff>47625</xdr:rowOff>
    </xdr:to>
    <xdr:graphicFrame>
      <xdr:nvGraphicFramePr>
        <xdr:cNvPr id="5" name="Chart 9"/>
        <xdr:cNvGraphicFramePr/>
      </xdr:nvGraphicFramePr>
      <xdr:xfrm>
        <a:off x="7600950" y="18335625"/>
        <a:ext cx="661987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25</xdr:row>
      <xdr:rowOff>114300</xdr:rowOff>
    </xdr:from>
    <xdr:to>
      <xdr:col>10</xdr:col>
      <xdr:colOff>0</xdr:colOff>
      <xdr:row>41</xdr:row>
      <xdr:rowOff>9525</xdr:rowOff>
    </xdr:to>
    <xdr:graphicFrame>
      <xdr:nvGraphicFramePr>
        <xdr:cNvPr id="6" name="Chart 12"/>
        <xdr:cNvGraphicFramePr/>
      </xdr:nvGraphicFramePr>
      <xdr:xfrm>
        <a:off x="238125" y="4162425"/>
        <a:ext cx="661987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41</xdr:row>
      <xdr:rowOff>133350</xdr:rowOff>
    </xdr:from>
    <xdr:to>
      <xdr:col>10</xdr:col>
      <xdr:colOff>47625</xdr:colOff>
      <xdr:row>57</xdr:row>
      <xdr:rowOff>28575</xdr:rowOff>
    </xdr:to>
    <xdr:graphicFrame>
      <xdr:nvGraphicFramePr>
        <xdr:cNvPr id="7" name="Chart 13"/>
        <xdr:cNvGraphicFramePr/>
      </xdr:nvGraphicFramePr>
      <xdr:xfrm>
        <a:off x="276225" y="6772275"/>
        <a:ext cx="6629400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533400</xdr:colOff>
      <xdr:row>58</xdr:row>
      <xdr:rowOff>38100</xdr:rowOff>
    </xdr:from>
    <xdr:to>
      <xdr:col>16</xdr:col>
      <xdr:colOff>304800</xdr:colOff>
      <xdr:row>73</xdr:row>
      <xdr:rowOff>104775</xdr:rowOff>
    </xdr:to>
    <xdr:graphicFrame>
      <xdr:nvGraphicFramePr>
        <xdr:cNvPr id="8" name="Chart 14"/>
        <xdr:cNvGraphicFramePr/>
      </xdr:nvGraphicFramePr>
      <xdr:xfrm>
        <a:off x="6019800" y="9429750"/>
        <a:ext cx="52578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8</xdr:col>
      <xdr:colOff>133350</xdr:colOff>
      <xdr:row>73</xdr:row>
      <xdr:rowOff>95250</xdr:rowOff>
    </xdr:to>
    <xdr:graphicFrame>
      <xdr:nvGraphicFramePr>
        <xdr:cNvPr id="9" name="Chart 15"/>
        <xdr:cNvGraphicFramePr/>
      </xdr:nvGraphicFramePr>
      <xdr:xfrm>
        <a:off x="314325" y="9391650"/>
        <a:ext cx="530542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314325</xdr:colOff>
      <xdr:row>1</xdr:row>
      <xdr:rowOff>38100</xdr:rowOff>
    </xdr:from>
    <xdr:to>
      <xdr:col>19</xdr:col>
      <xdr:colOff>514350</xdr:colOff>
      <xdr:row>17</xdr:row>
      <xdr:rowOff>19050</xdr:rowOff>
    </xdr:to>
    <xdr:graphicFrame>
      <xdr:nvGraphicFramePr>
        <xdr:cNvPr id="10" name="Chart 16"/>
        <xdr:cNvGraphicFramePr/>
      </xdr:nvGraphicFramePr>
      <xdr:xfrm>
        <a:off x="7172325" y="200025"/>
        <a:ext cx="637222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409575</xdr:colOff>
      <xdr:row>18</xdr:row>
      <xdr:rowOff>47625</xdr:rowOff>
    </xdr:from>
    <xdr:to>
      <xdr:col>19</xdr:col>
      <xdr:colOff>609600</xdr:colOff>
      <xdr:row>34</xdr:row>
      <xdr:rowOff>28575</xdr:rowOff>
    </xdr:to>
    <xdr:graphicFrame>
      <xdr:nvGraphicFramePr>
        <xdr:cNvPr id="11" name="Chart 17"/>
        <xdr:cNvGraphicFramePr/>
      </xdr:nvGraphicFramePr>
      <xdr:xfrm>
        <a:off x="7267575" y="2962275"/>
        <a:ext cx="6372225" cy="2571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314325</xdr:colOff>
      <xdr:row>37</xdr:row>
      <xdr:rowOff>19050</xdr:rowOff>
    </xdr:from>
    <xdr:to>
      <xdr:col>20</xdr:col>
      <xdr:colOff>514350</xdr:colOff>
      <xdr:row>53</xdr:row>
      <xdr:rowOff>0</xdr:rowOff>
    </xdr:to>
    <xdr:graphicFrame>
      <xdr:nvGraphicFramePr>
        <xdr:cNvPr id="12" name="Chart 18"/>
        <xdr:cNvGraphicFramePr/>
      </xdr:nvGraphicFramePr>
      <xdr:xfrm>
        <a:off x="7858125" y="6010275"/>
        <a:ext cx="6372225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19050</xdr:colOff>
      <xdr:row>75</xdr:row>
      <xdr:rowOff>57150</xdr:rowOff>
    </xdr:from>
    <xdr:to>
      <xdr:col>19</xdr:col>
      <xdr:colOff>228600</xdr:colOff>
      <xdr:row>91</xdr:row>
      <xdr:rowOff>38100</xdr:rowOff>
    </xdr:to>
    <xdr:graphicFrame>
      <xdr:nvGraphicFramePr>
        <xdr:cNvPr id="13" name="Chart 19"/>
        <xdr:cNvGraphicFramePr/>
      </xdr:nvGraphicFramePr>
      <xdr:xfrm>
        <a:off x="6877050" y="12201525"/>
        <a:ext cx="6381750" cy="2571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314325</xdr:colOff>
      <xdr:row>133</xdr:row>
      <xdr:rowOff>123825</xdr:rowOff>
    </xdr:from>
    <xdr:to>
      <xdr:col>21</xdr:col>
      <xdr:colOff>514350</xdr:colOff>
      <xdr:row>149</xdr:row>
      <xdr:rowOff>104775</xdr:rowOff>
    </xdr:to>
    <xdr:graphicFrame>
      <xdr:nvGraphicFramePr>
        <xdr:cNvPr id="14" name="Chart 21"/>
        <xdr:cNvGraphicFramePr/>
      </xdr:nvGraphicFramePr>
      <xdr:xfrm>
        <a:off x="8543925" y="21659850"/>
        <a:ext cx="6372225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132</xdr:row>
      <xdr:rowOff>57150</xdr:rowOff>
    </xdr:from>
    <xdr:to>
      <xdr:col>10</xdr:col>
      <xdr:colOff>485775</xdr:colOff>
      <xdr:row>148</xdr:row>
      <xdr:rowOff>38100</xdr:rowOff>
    </xdr:to>
    <xdr:graphicFrame>
      <xdr:nvGraphicFramePr>
        <xdr:cNvPr id="15" name="Chart 22"/>
        <xdr:cNvGraphicFramePr/>
      </xdr:nvGraphicFramePr>
      <xdr:xfrm>
        <a:off x="714375" y="21431250"/>
        <a:ext cx="6629400" cy="257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12</xdr:col>
      <xdr:colOff>428625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19075" y="28575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104775</xdr:rowOff>
    </xdr:from>
    <xdr:to>
      <xdr:col>13</xdr:col>
      <xdr:colOff>485775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47625" y="6257925"/>
        <a:ext cx="9353550" cy="705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83</xdr:row>
      <xdr:rowOff>66675</xdr:rowOff>
    </xdr:from>
    <xdr:to>
      <xdr:col>14</xdr:col>
      <xdr:colOff>190500</xdr:colOff>
      <xdr:row>112</xdr:row>
      <xdr:rowOff>0</xdr:rowOff>
    </xdr:to>
    <xdr:graphicFrame>
      <xdr:nvGraphicFramePr>
        <xdr:cNvPr id="3" name="Chart 3"/>
        <xdr:cNvGraphicFramePr/>
      </xdr:nvGraphicFramePr>
      <xdr:xfrm>
        <a:off x="95250" y="13506450"/>
        <a:ext cx="96964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114</xdr:row>
      <xdr:rowOff>0</xdr:rowOff>
    </xdr:from>
    <xdr:to>
      <xdr:col>14</xdr:col>
      <xdr:colOff>180975</xdr:colOff>
      <xdr:row>135</xdr:row>
      <xdr:rowOff>57150</xdr:rowOff>
    </xdr:to>
    <xdr:graphicFrame>
      <xdr:nvGraphicFramePr>
        <xdr:cNvPr id="4" name="Chart 4"/>
        <xdr:cNvGraphicFramePr/>
      </xdr:nvGraphicFramePr>
      <xdr:xfrm>
        <a:off x="314325" y="18459450"/>
        <a:ext cx="94678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5"/>
  <sheetViews>
    <sheetView tabSelected="1" zoomScale="50" zoomScaleNormal="50" workbookViewId="0" topLeftCell="A1">
      <pane ySplit="2310" topLeftCell="BM148" activePane="bottomLeft" state="split"/>
      <selection pane="topLeft" activeCell="B12" sqref="B12"/>
      <selection pane="bottomLeft" activeCell="D285" sqref="D285"/>
    </sheetView>
  </sheetViews>
  <sheetFormatPr defaultColWidth="9.00390625" defaultRowHeight="12.75"/>
  <cols>
    <col min="1" max="1" width="25.125" style="1" customWidth="1"/>
    <col min="2" max="2" width="9.625" style="1" customWidth="1"/>
    <col min="3" max="3" width="9.125" style="1" customWidth="1"/>
    <col min="4" max="4" width="10.00390625" style="1" customWidth="1"/>
    <col min="5" max="26" width="6.875" style="1" customWidth="1"/>
    <col min="27" max="27" width="9.125" style="2" customWidth="1"/>
    <col min="28" max="255" width="9.125" style="2" hidden="1" customWidth="1"/>
    <col min="256" max="16384" width="1.625" style="2" hidden="1" customWidth="1"/>
  </cols>
  <sheetData>
    <row r="1" spans="2:6" ht="12.75">
      <c r="B1" s="67" t="s">
        <v>53</v>
      </c>
      <c r="C1" s="67"/>
      <c r="E1" s="67" t="s">
        <v>240</v>
      </c>
      <c r="F1" s="67"/>
    </row>
    <row r="2" ht="12.75"/>
    <row r="3" spans="8:26" ht="13.5" thickBot="1">
      <c r="H3" s="1" t="s">
        <v>0</v>
      </c>
      <c r="K3" s="1" t="s">
        <v>1</v>
      </c>
      <c r="L3" s="3">
        <v>9.81</v>
      </c>
      <c r="S3" s="4"/>
      <c r="T3" s="4"/>
      <c r="U3" s="4"/>
      <c r="V3" s="4"/>
      <c r="W3" s="4"/>
      <c r="X3" s="4"/>
      <c r="Y3" s="4"/>
      <c r="Z3" s="4"/>
    </row>
    <row r="4" spans="1:26" ht="13.5" thickBot="1">
      <c r="A4" s="5" t="s">
        <v>2</v>
      </c>
      <c r="B4" s="6" t="s">
        <v>3</v>
      </c>
      <c r="C4" s="6" t="s">
        <v>4</v>
      </c>
      <c r="D4" s="6" t="s">
        <v>3</v>
      </c>
      <c r="E4" s="7" t="s">
        <v>5</v>
      </c>
      <c r="F4" s="4" t="s">
        <v>6</v>
      </c>
      <c r="G4" s="4" t="s">
        <v>7</v>
      </c>
      <c r="H4" s="7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76</v>
      </c>
      <c r="N4" s="4"/>
      <c r="O4" s="4"/>
      <c r="P4" s="4"/>
      <c r="Q4" s="4"/>
      <c r="S4" s="4"/>
      <c r="T4" s="4"/>
      <c r="U4" s="4"/>
      <c r="V4" s="4"/>
      <c r="W4" s="4"/>
      <c r="X4" s="4"/>
      <c r="Y4" s="4"/>
      <c r="Z4" s="4"/>
    </row>
    <row r="5" spans="1:26" ht="12.75">
      <c r="A5" s="8" t="s">
        <v>10</v>
      </c>
      <c r="B5" s="9">
        <v>1</v>
      </c>
      <c r="C5" s="4" t="s">
        <v>11</v>
      </c>
      <c r="D5" s="4">
        <v>1</v>
      </c>
      <c r="E5" s="10" t="s">
        <v>12</v>
      </c>
      <c r="F5" s="11">
        <f>COS(B20)*D5</f>
        <v>0.9998476951563913</v>
      </c>
      <c r="G5" s="11">
        <f>SIN(B20)*D5</f>
        <v>0.01745240643728351</v>
      </c>
      <c r="H5" s="1" t="s">
        <v>13</v>
      </c>
      <c r="I5" s="1">
        <v>0.5</v>
      </c>
      <c r="J5" s="1">
        <v>0.3</v>
      </c>
      <c r="K5" s="4">
        <v>1</v>
      </c>
      <c r="L5" s="12">
        <f>K5*$L$3</f>
        <v>9.81</v>
      </c>
      <c r="M5" s="4">
        <v>1</v>
      </c>
      <c r="N5" s="4"/>
      <c r="O5" s="4"/>
      <c r="P5" s="4"/>
      <c r="Q5" s="4"/>
      <c r="S5" s="4"/>
      <c r="T5" s="4"/>
      <c r="U5" s="7"/>
      <c r="V5" s="4"/>
      <c r="W5" s="13"/>
      <c r="X5" s="4"/>
      <c r="Y5" s="7"/>
      <c r="Z5" s="4"/>
    </row>
    <row r="6" spans="1:26" ht="12.75">
      <c r="A6" s="14" t="s">
        <v>14</v>
      </c>
      <c r="B6" s="4">
        <v>1</v>
      </c>
      <c r="C6" s="9" t="s">
        <v>15</v>
      </c>
      <c r="D6" s="4">
        <v>3.67</v>
      </c>
      <c r="E6" s="10" t="s">
        <v>16</v>
      </c>
      <c r="F6" s="11">
        <f>F5+COS(B43)*D6</f>
        <v>4.631432921986749</v>
      </c>
      <c r="G6" s="11">
        <f>G5+SIN(B43)*D6</f>
        <v>-0.5121594705703002</v>
      </c>
      <c r="H6" s="1" t="s">
        <v>17</v>
      </c>
      <c r="I6" s="1">
        <v>2.2</v>
      </c>
      <c r="J6" s="1">
        <v>-0.3</v>
      </c>
      <c r="K6" s="4">
        <v>3</v>
      </c>
      <c r="L6" s="12">
        <f>K6*$L$3</f>
        <v>29.43</v>
      </c>
      <c r="M6" s="4">
        <v>4</v>
      </c>
      <c r="N6" s="4"/>
      <c r="O6" s="4"/>
      <c r="P6" s="4"/>
      <c r="Q6" s="4"/>
      <c r="S6" s="4"/>
      <c r="T6" s="4"/>
      <c r="U6" s="7"/>
      <c r="V6" s="4"/>
      <c r="W6" s="7"/>
      <c r="X6" s="4"/>
      <c r="Y6" s="7"/>
      <c r="Z6" s="4"/>
    </row>
    <row r="7" spans="1:26" ht="12.75">
      <c r="A7" s="14" t="s">
        <v>18</v>
      </c>
      <c r="B7" s="4">
        <v>0</v>
      </c>
      <c r="C7" s="4"/>
      <c r="D7" s="4"/>
      <c r="E7" s="10"/>
      <c r="F7" s="15"/>
      <c r="H7" s="1" t="s">
        <v>19</v>
      </c>
      <c r="I7" s="1">
        <v>3.5</v>
      </c>
      <c r="J7" s="1">
        <v>-0.7</v>
      </c>
      <c r="K7" s="4">
        <v>1.5</v>
      </c>
      <c r="L7" s="12">
        <f>K7*$L$3</f>
        <v>14.715</v>
      </c>
      <c r="M7" s="4">
        <v>2</v>
      </c>
      <c r="N7" s="4"/>
      <c r="O7" s="4"/>
      <c r="P7" s="4"/>
      <c r="Q7" s="4"/>
      <c r="S7" s="4"/>
      <c r="T7" s="16"/>
      <c r="U7" s="7"/>
      <c r="V7" s="16"/>
      <c r="W7" s="7"/>
      <c r="X7" s="4"/>
      <c r="Y7" s="7"/>
      <c r="Z7" s="4"/>
    </row>
    <row r="8" spans="1:26" ht="12.75">
      <c r="A8" s="14" t="s">
        <v>20</v>
      </c>
      <c r="B8" s="4">
        <v>0.01</v>
      </c>
      <c r="C8" s="4"/>
      <c r="D8" s="4" t="s">
        <v>184</v>
      </c>
      <c r="E8" s="4">
        <v>1</v>
      </c>
      <c r="F8" s="4">
        <v>2</v>
      </c>
      <c r="G8" s="4">
        <v>3</v>
      </c>
      <c r="H8" s="1" t="s">
        <v>21</v>
      </c>
      <c r="I8" s="1">
        <v>2</v>
      </c>
      <c r="J8" s="1">
        <v>0</v>
      </c>
      <c r="K8" s="4">
        <v>1</v>
      </c>
      <c r="L8" s="12">
        <f>K8*$L$3</f>
        <v>9.81</v>
      </c>
      <c r="M8" s="4">
        <v>2</v>
      </c>
      <c r="N8" s="4"/>
      <c r="O8" s="4"/>
      <c r="P8" s="4"/>
      <c r="Q8" s="4"/>
      <c r="S8" s="4"/>
      <c r="T8" s="17"/>
      <c r="U8" s="18"/>
      <c r="V8" s="17"/>
      <c r="W8" s="7"/>
      <c r="X8" s="4"/>
      <c r="Y8" s="7"/>
      <c r="Z8" s="4"/>
    </row>
    <row r="9" spans="1:26" ht="12.75">
      <c r="A9" s="14" t="s">
        <v>22</v>
      </c>
      <c r="B9" s="4">
        <v>15</v>
      </c>
      <c r="C9" s="4"/>
      <c r="D9" s="4" t="s">
        <v>185</v>
      </c>
      <c r="E9" s="4">
        <v>2</v>
      </c>
      <c r="F9" s="4">
        <v>3</v>
      </c>
      <c r="G9" s="4">
        <v>4</v>
      </c>
      <c r="H9" s="1" t="s">
        <v>23</v>
      </c>
      <c r="I9" s="1">
        <v>1</v>
      </c>
      <c r="J9" s="1">
        <v>-1</v>
      </c>
      <c r="K9" s="4">
        <v>3</v>
      </c>
      <c r="L9" s="12">
        <f>K9*$L$3</f>
        <v>29.43</v>
      </c>
      <c r="M9" s="4">
        <v>3</v>
      </c>
      <c r="N9" s="4"/>
      <c r="O9" s="4"/>
      <c r="P9" s="4"/>
      <c r="Q9" s="4"/>
      <c r="S9" s="4"/>
      <c r="T9" s="16"/>
      <c r="U9" s="7"/>
      <c r="V9" s="16"/>
      <c r="W9" s="7"/>
      <c r="X9" s="4"/>
      <c r="Y9" s="7"/>
      <c r="Z9" s="4"/>
    </row>
    <row r="10" spans="1:26" ht="12.75">
      <c r="A10" s="14" t="s">
        <v>24</v>
      </c>
      <c r="B10" s="19">
        <f>RADIANS(B9)</f>
        <v>0.2617993877991494</v>
      </c>
      <c r="C10" s="4"/>
      <c r="D10" s="4" t="s">
        <v>186</v>
      </c>
      <c r="E10" s="4">
        <v>4</v>
      </c>
      <c r="F10" s="4">
        <v>5</v>
      </c>
      <c r="G10" s="4">
        <v>6</v>
      </c>
      <c r="H10" s="1" t="s">
        <v>175</v>
      </c>
      <c r="I10" s="1">
        <v>4</v>
      </c>
      <c r="J10" s="1">
        <v>-0.5</v>
      </c>
      <c r="K10" s="4"/>
      <c r="L10" s="4"/>
      <c r="M10" s="4"/>
      <c r="N10" s="4"/>
      <c r="O10" s="4"/>
      <c r="P10" s="4"/>
      <c r="Q10" s="4"/>
      <c r="S10" s="4"/>
      <c r="T10" s="16"/>
      <c r="U10" s="7"/>
      <c r="V10" s="16"/>
      <c r="W10" s="7"/>
      <c r="X10" s="4"/>
      <c r="Y10" s="7"/>
      <c r="Z10" s="4"/>
    </row>
    <row r="11" spans="1:26" ht="12.75">
      <c r="A11" s="15"/>
      <c r="B11" s="4"/>
      <c r="C11" s="4"/>
      <c r="D11" s="17"/>
      <c r="K11" s="4"/>
      <c r="L11" s="4"/>
      <c r="M11" s="4"/>
      <c r="N11" s="4"/>
      <c r="O11" s="4"/>
      <c r="P11" s="4"/>
      <c r="Q11" s="4"/>
      <c r="S11" s="4"/>
      <c r="T11" s="16"/>
      <c r="U11" s="7"/>
      <c r="V11" s="16"/>
      <c r="W11" s="7"/>
      <c r="X11" s="4"/>
      <c r="Y11" s="7"/>
      <c r="Z11" s="4"/>
    </row>
    <row r="12" spans="1:26" ht="12.75">
      <c r="A12" s="15" t="s">
        <v>243</v>
      </c>
      <c r="B12" s="4">
        <v>200</v>
      </c>
      <c r="C12" s="4"/>
      <c r="D12" s="17"/>
      <c r="K12" s="4"/>
      <c r="L12" s="4"/>
      <c r="M12" s="4"/>
      <c r="N12" s="4"/>
      <c r="O12" s="4"/>
      <c r="P12" s="4"/>
      <c r="Q12" s="4"/>
      <c r="S12" s="4"/>
      <c r="T12" s="4"/>
      <c r="U12" s="7"/>
      <c r="V12" s="4"/>
      <c r="W12" s="7"/>
      <c r="X12" s="16"/>
      <c r="Y12" s="7"/>
      <c r="Z12" s="16"/>
    </row>
    <row r="13" spans="1:26" ht="12.75">
      <c r="A13" s="15"/>
      <c r="C13" s="4"/>
      <c r="D13" s="4"/>
      <c r="N13" s="61"/>
      <c r="O13" s="61"/>
      <c r="P13" s="61"/>
      <c r="Q13" s="4"/>
      <c r="S13" s="4"/>
      <c r="T13" s="4"/>
      <c r="U13" s="7"/>
      <c r="V13" s="4"/>
      <c r="W13" s="7"/>
      <c r="X13" s="4"/>
      <c r="Y13" s="4"/>
      <c r="Z13" s="4"/>
    </row>
    <row r="14" spans="3:26" ht="12.75">
      <c r="C14" s="4" t="s">
        <v>103</v>
      </c>
      <c r="D14" s="4">
        <v>21</v>
      </c>
      <c r="E14" s="4" t="s">
        <v>102</v>
      </c>
      <c r="F14" s="4">
        <v>37</v>
      </c>
      <c r="G14" s="4"/>
      <c r="H14" s="4"/>
      <c r="I14" s="16"/>
      <c r="J14" s="16"/>
      <c r="K14" s="4"/>
      <c r="L14" s="4"/>
      <c r="S14" s="4"/>
      <c r="T14" s="4"/>
      <c r="U14" s="4"/>
      <c r="V14" s="4"/>
      <c r="W14" s="4"/>
      <c r="X14" s="4"/>
      <c r="Y14" s="4"/>
      <c r="Z14" s="4"/>
    </row>
    <row r="15" spans="1:12" ht="12.75">
      <c r="A15" s="4" t="s">
        <v>105</v>
      </c>
      <c r="B15" s="4">
        <v>2.29</v>
      </c>
      <c r="C15" s="4" t="s">
        <v>25</v>
      </c>
      <c r="D15" s="19">
        <f>RADIANS(D14)</f>
        <v>0.3665191429188092</v>
      </c>
      <c r="E15" s="4" t="s">
        <v>25</v>
      </c>
      <c r="F15" s="4">
        <f>RADIANS(F14)</f>
        <v>0.6457718232379019</v>
      </c>
      <c r="G15" s="4"/>
      <c r="H15" s="4"/>
      <c r="I15" s="4"/>
      <c r="J15" s="4"/>
      <c r="K15" s="4"/>
      <c r="L15" s="4"/>
    </row>
    <row r="16" spans="1:12" ht="12.75">
      <c r="A16" s="4" t="s">
        <v>104</v>
      </c>
      <c r="B16" s="4">
        <v>-1.8</v>
      </c>
      <c r="C16" s="4" t="s">
        <v>26</v>
      </c>
      <c r="D16" s="12">
        <f>TAN(D15)</f>
        <v>0.3838640350354158</v>
      </c>
      <c r="E16" s="4" t="s">
        <v>26</v>
      </c>
      <c r="F16" s="4">
        <f>TAN(F15)</f>
        <v>0.7535540501027942</v>
      </c>
      <c r="G16" s="4"/>
      <c r="H16" s="4"/>
      <c r="I16" s="4"/>
      <c r="J16" s="4"/>
      <c r="K16" s="4"/>
      <c r="L16" s="4"/>
    </row>
    <row r="17" spans="1:2" ht="13.5" thickBot="1">
      <c r="A17" s="2"/>
      <c r="B17" s="4"/>
    </row>
    <row r="18" spans="1:4" ht="13.5" thickBot="1">
      <c r="A18" s="5" t="s">
        <v>70</v>
      </c>
      <c r="B18" s="6"/>
      <c r="C18" s="6"/>
      <c r="D18" s="22"/>
    </row>
    <row r="19" spans="1:26" ht="12.75">
      <c r="A19" s="23" t="s">
        <v>27</v>
      </c>
      <c r="B19" s="24">
        <f>B5</f>
        <v>1</v>
      </c>
      <c r="C19" s="24">
        <f>B19+$B$9</f>
        <v>16</v>
      </c>
      <c r="D19" s="24">
        <f aca="true" t="shared" si="0" ref="D19:Z19">C19+$B$9</f>
        <v>31</v>
      </c>
      <c r="E19" s="24">
        <f t="shared" si="0"/>
        <v>46</v>
      </c>
      <c r="F19" s="24">
        <f t="shared" si="0"/>
        <v>61</v>
      </c>
      <c r="G19" s="24">
        <f t="shared" si="0"/>
        <v>76</v>
      </c>
      <c r="H19" s="24">
        <f t="shared" si="0"/>
        <v>91</v>
      </c>
      <c r="I19" s="24">
        <f t="shared" si="0"/>
        <v>106</v>
      </c>
      <c r="J19" s="24">
        <f t="shared" si="0"/>
        <v>121</v>
      </c>
      <c r="K19" s="24">
        <f t="shared" si="0"/>
        <v>136</v>
      </c>
      <c r="L19" s="24">
        <f t="shared" si="0"/>
        <v>151</v>
      </c>
      <c r="M19" s="24">
        <f t="shared" si="0"/>
        <v>166</v>
      </c>
      <c r="N19" s="24">
        <f t="shared" si="0"/>
        <v>181</v>
      </c>
      <c r="O19" s="24">
        <f t="shared" si="0"/>
        <v>196</v>
      </c>
      <c r="P19" s="24">
        <f t="shared" si="0"/>
        <v>211</v>
      </c>
      <c r="Q19" s="24">
        <f t="shared" si="0"/>
        <v>226</v>
      </c>
      <c r="R19" s="24">
        <f t="shared" si="0"/>
        <v>241</v>
      </c>
      <c r="S19" s="24">
        <f t="shared" si="0"/>
        <v>256</v>
      </c>
      <c r="T19" s="24">
        <f t="shared" si="0"/>
        <v>271</v>
      </c>
      <c r="U19" s="24">
        <f t="shared" si="0"/>
        <v>286</v>
      </c>
      <c r="V19" s="24">
        <f t="shared" si="0"/>
        <v>301</v>
      </c>
      <c r="W19" s="24">
        <f t="shared" si="0"/>
        <v>316</v>
      </c>
      <c r="X19" s="24">
        <f t="shared" si="0"/>
        <v>331</v>
      </c>
      <c r="Y19" s="24">
        <f t="shared" si="0"/>
        <v>346</v>
      </c>
      <c r="Z19" s="24">
        <f t="shared" si="0"/>
        <v>361</v>
      </c>
    </row>
    <row r="20" spans="1:26" ht="12.75">
      <c r="A20" s="14" t="s">
        <v>28</v>
      </c>
      <c r="B20" s="16">
        <f>RADIANS(B19)</f>
        <v>0.017453292519943295</v>
      </c>
      <c r="C20" s="16">
        <f aca="true" t="shared" si="1" ref="C20:Z20">RADIANS(C19)</f>
        <v>0.2792526803190927</v>
      </c>
      <c r="D20" s="16">
        <f t="shared" si="1"/>
        <v>0.5410520681182421</v>
      </c>
      <c r="E20" s="16">
        <f t="shared" si="1"/>
        <v>0.8028514559173916</v>
      </c>
      <c r="F20" s="16">
        <f t="shared" si="1"/>
        <v>1.064650843716541</v>
      </c>
      <c r="G20" s="16">
        <f t="shared" si="1"/>
        <v>1.3264502315156905</v>
      </c>
      <c r="H20" s="16">
        <f t="shared" si="1"/>
        <v>1.5882496193148399</v>
      </c>
      <c r="I20" s="16">
        <f t="shared" si="1"/>
        <v>1.8500490071139892</v>
      </c>
      <c r="J20" s="16">
        <f t="shared" si="1"/>
        <v>2.111848394913139</v>
      </c>
      <c r="K20" s="16">
        <f t="shared" si="1"/>
        <v>2.3736477827122884</v>
      </c>
      <c r="L20" s="16">
        <f t="shared" si="1"/>
        <v>2.6354471705114375</v>
      </c>
      <c r="M20" s="16">
        <f t="shared" si="1"/>
        <v>2.897246558310587</v>
      </c>
      <c r="N20" s="16">
        <f t="shared" si="1"/>
        <v>3.1590459461097367</v>
      </c>
      <c r="O20" s="16">
        <f t="shared" si="1"/>
        <v>3.420845333908886</v>
      </c>
      <c r="P20" s="16">
        <f t="shared" si="1"/>
        <v>3.6826447217080354</v>
      </c>
      <c r="Q20" s="16">
        <f t="shared" si="1"/>
        <v>3.944444109507185</v>
      </c>
      <c r="R20" s="16">
        <f t="shared" si="1"/>
        <v>4.2062434973063345</v>
      </c>
      <c r="S20" s="16">
        <f t="shared" si="1"/>
        <v>4.468042885105484</v>
      </c>
      <c r="T20" s="16">
        <f t="shared" si="1"/>
        <v>4.729842272904633</v>
      </c>
      <c r="U20" s="16">
        <f t="shared" si="1"/>
        <v>4.991641660703783</v>
      </c>
      <c r="V20" s="16">
        <f t="shared" si="1"/>
        <v>5.253441048502932</v>
      </c>
      <c r="W20" s="16">
        <f t="shared" si="1"/>
        <v>5.515240436302081</v>
      </c>
      <c r="X20" s="16">
        <f t="shared" si="1"/>
        <v>5.777039824101231</v>
      </c>
      <c r="Y20" s="16">
        <f t="shared" si="1"/>
        <v>6.03883921190038</v>
      </c>
      <c r="Z20" s="16">
        <f t="shared" si="1"/>
        <v>6.300638599699529</v>
      </c>
    </row>
    <row r="21" spans="1:26" ht="12.75">
      <c r="A21" s="14" t="s">
        <v>29</v>
      </c>
      <c r="B21" s="16">
        <f>B20-$B$20</f>
        <v>0</v>
      </c>
      <c r="C21" s="16">
        <f aca="true" t="shared" si="2" ref="C21:Z21">C20-$B$20</f>
        <v>0.2617993877991494</v>
      </c>
      <c r="D21" s="16">
        <f t="shared" si="2"/>
        <v>0.5235987755982988</v>
      </c>
      <c r="E21" s="16">
        <f t="shared" si="2"/>
        <v>0.7853981633974483</v>
      </c>
      <c r="F21" s="16">
        <f t="shared" si="2"/>
        <v>1.0471975511965976</v>
      </c>
      <c r="G21" s="16">
        <f t="shared" si="2"/>
        <v>1.3089969389957472</v>
      </c>
      <c r="H21" s="16">
        <f t="shared" si="2"/>
        <v>1.5707963267948966</v>
      </c>
      <c r="I21" s="16">
        <f t="shared" si="2"/>
        <v>1.832595714594046</v>
      </c>
      <c r="J21" s="16">
        <f t="shared" si="2"/>
        <v>2.0943951023931957</v>
      </c>
      <c r="K21" s="16">
        <f t="shared" si="2"/>
        <v>2.3561944901923453</v>
      </c>
      <c r="L21" s="16">
        <f t="shared" si="2"/>
        <v>2.6179938779914944</v>
      </c>
      <c r="M21" s="16">
        <f t="shared" si="2"/>
        <v>2.879793265790644</v>
      </c>
      <c r="N21" s="16">
        <f t="shared" si="2"/>
        <v>3.1415926535897936</v>
      </c>
      <c r="O21" s="16">
        <f t="shared" si="2"/>
        <v>3.4033920413889427</v>
      </c>
      <c r="P21" s="16">
        <f t="shared" si="2"/>
        <v>3.6651914291880923</v>
      </c>
      <c r="Q21" s="16">
        <f t="shared" si="2"/>
        <v>3.926990816987242</v>
      </c>
      <c r="R21" s="16">
        <f t="shared" si="2"/>
        <v>4.188790204786391</v>
      </c>
      <c r="S21" s="16">
        <f t="shared" si="2"/>
        <v>4.4505895925855405</v>
      </c>
      <c r="T21" s="16">
        <f t="shared" si="2"/>
        <v>4.71238898038469</v>
      </c>
      <c r="U21" s="16">
        <f t="shared" si="2"/>
        <v>4.97418836818384</v>
      </c>
      <c r="V21" s="16">
        <f t="shared" si="2"/>
        <v>5.235987755982989</v>
      </c>
      <c r="W21" s="16">
        <f t="shared" si="2"/>
        <v>5.497787143782138</v>
      </c>
      <c r="X21" s="16">
        <f t="shared" si="2"/>
        <v>5.759586531581288</v>
      </c>
      <c r="Y21" s="16">
        <f t="shared" si="2"/>
        <v>6.021385919380437</v>
      </c>
      <c r="Z21" s="16">
        <f t="shared" si="2"/>
        <v>6.283185307179586</v>
      </c>
    </row>
    <row r="22" spans="1:26" ht="12.75">
      <c r="A22" s="14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14" t="s">
        <v>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14" t="s">
        <v>32</v>
      </c>
      <c r="B24" s="4">
        <f>B7</f>
        <v>0</v>
      </c>
      <c r="C24" s="4">
        <f>B267/$B$12</f>
        <v>0.19437052730861726</v>
      </c>
      <c r="D24" s="4">
        <f aca="true" t="shared" si="3" ref="D24:Z24">C267/$B$12</f>
        <v>0.14475025166214464</v>
      </c>
      <c r="E24" s="4">
        <f t="shared" si="3"/>
        <v>0.078373634912357</v>
      </c>
      <c r="F24" s="4">
        <f t="shared" si="3"/>
        <v>0.006502938841375001</v>
      </c>
      <c r="G24" s="4">
        <f t="shared" si="3"/>
        <v>-0.07218357672926622</v>
      </c>
      <c r="H24" s="4">
        <f t="shared" si="3"/>
        <v>-0.15692048671425526</v>
      </c>
      <c r="I24" s="4">
        <f t="shared" si="3"/>
        <v>-0.22954554745894748</v>
      </c>
      <c r="J24" s="4">
        <f t="shared" si="3"/>
        <v>-0.25905636082408234</v>
      </c>
      <c r="K24" s="4">
        <f t="shared" si="3"/>
        <v>-0.2372204906410051</v>
      </c>
      <c r="L24" s="4">
        <f t="shared" si="3"/>
        <v>-0.19520334043293025</v>
      </c>
      <c r="M24" s="4">
        <f t="shared" si="3"/>
        <v>-0.1612392721568562</v>
      </c>
      <c r="N24" s="4">
        <f t="shared" si="3"/>
        <v>-0.13840388301988005</v>
      </c>
      <c r="O24" s="4">
        <f t="shared" si="3"/>
        <v>-0.1200490088334287</v>
      </c>
      <c r="P24" s="4">
        <f t="shared" si="3"/>
        <v>-0.1007275741705562</v>
      </c>
      <c r="Q24" s="4">
        <f t="shared" si="3"/>
        <v>-0.07740035259722682</v>
      </c>
      <c r="R24" s="4">
        <f t="shared" si="3"/>
        <v>-0.04819043349282339</v>
      </c>
      <c r="S24" s="4">
        <f t="shared" si="3"/>
        <v>-0.01119544039221493</v>
      </c>
      <c r="T24" s="4">
        <f t="shared" si="3"/>
        <v>0.03592741529223851</v>
      </c>
      <c r="U24" s="4">
        <f t="shared" si="3"/>
        <v>0.09467986178401079</v>
      </c>
      <c r="V24" s="4">
        <f t="shared" si="3"/>
        <v>0.16232488075261375</v>
      </c>
      <c r="W24" s="4">
        <f t="shared" si="3"/>
        <v>0.2286876105740445</v>
      </c>
      <c r="X24" s="4">
        <f t="shared" si="3"/>
        <v>0.2775139157715734</v>
      </c>
      <c r="Y24" s="4">
        <f t="shared" si="3"/>
        <v>0.29321332123809785</v>
      </c>
      <c r="Z24" s="4">
        <f t="shared" si="3"/>
        <v>0.26956547758046034</v>
      </c>
    </row>
    <row r="25" spans="1:26" ht="12.75">
      <c r="A25" s="14" t="s">
        <v>33</v>
      </c>
      <c r="B25" s="16">
        <f>C25</f>
        <v>0.2617993877991494</v>
      </c>
      <c r="C25" s="16">
        <f>(C21-B21)/B26</f>
        <v>0.2617993877991494</v>
      </c>
      <c r="D25" s="16">
        <f aca="true" t="shared" si="4" ref="D25:Z25">(D21-C21)/C26</f>
        <v>0.2617993877991494</v>
      </c>
      <c r="E25" s="16">
        <f t="shared" si="4"/>
        <v>0.24912251815124165</v>
      </c>
      <c r="F25" s="16">
        <f t="shared" si="4"/>
        <v>0.2404516983348162</v>
      </c>
      <c r="G25" s="16">
        <f t="shared" si="4"/>
        <v>0.23621574622640998</v>
      </c>
      <c r="H25" s="16">
        <f t="shared" si="4"/>
        <v>0.23588295314221472</v>
      </c>
      <c r="I25" s="16">
        <f t="shared" si="4"/>
        <v>0.23956335773013498</v>
      </c>
      <c r="J25" s="16">
        <f t="shared" si="4"/>
        <v>0.24796208036485642</v>
      </c>
      <c r="K25" s="16">
        <f t="shared" si="4"/>
        <v>0.2615866067290595</v>
      </c>
      <c r="L25" s="16">
        <f t="shared" si="4"/>
        <v>0.27952780402344</v>
      </c>
      <c r="M25" s="16">
        <f t="shared" si="4"/>
        <v>0.29936230137501535</v>
      </c>
      <c r="N25" s="16">
        <f t="shared" si="4"/>
        <v>0.3192835856203214</v>
      </c>
      <c r="O25" s="16">
        <f t="shared" si="4"/>
        <v>0.33925467446140345</v>
      </c>
      <c r="P25" s="16">
        <f t="shared" si="4"/>
        <v>0.35986182071483575</v>
      </c>
      <c r="Q25" s="16">
        <f t="shared" si="4"/>
        <v>0.38120245140295894</v>
      </c>
      <c r="R25" s="16">
        <f t="shared" si="4"/>
        <v>0.4024435088196295</v>
      </c>
      <c r="S25" s="16">
        <f t="shared" si="4"/>
        <v>0.4215639721558694</v>
      </c>
      <c r="T25" s="16">
        <f t="shared" si="4"/>
        <v>0.4351534591183258</v>
      </c>
      <c r="U25" s="16">
        <f t="shared" si="4"/>
        <v>0.43859411535813825</v>
      </c>
      <c r="V25" s="16">
        <f t="shared" si="4"/>
        <v>0.42739981594303017</v>
      </c>
      <c r="W25" s="16">
        <f t="shared" si="4"/>
        <v>0.40026459883347265</v>
      </c>
      <c r="X25" s="16">
        <f t="shared" si="4"/>
        <v>0.36187955625797785</v>
      </c>
      <c r="Y25" s="16">
        <f t="shared" si="4"/>
        <v>0.3212345255294327</v>
      </c>
      <c r="Z25" s="16">
        <f t="shared" si="4"/>
        <v>0.28599277549548524</v>
      </c>
    </row>
    <row r="26" spans="1:26" ht="12.75">
      <c r="A26" s="14" t="s">
        <v>34</v>
      </c>
      <c r="B26" s="4">
        <f>B6</f>
        <v>1</v>
      </c>
      <c r="C26" s="16">
        <f>B26+B24*B25</f>
        <v>1</v>
      </c>
      <c r="D26" s="16">
        <f aca="true" t="shared" si="5" ref="D26:Z26">C26+C24*C25</f>
        <v>1.0508860850555939</v>
      </c>
      <c r="E26" s="16">
        <f t="shared" si="5"/>
        <v>1.0887816123245162</v>
      </c>
      <c r="F26" s="16">
        <f t="shared" si="5"/>
        <v>1.1083062496105487</v>
      </c>
      <c r="G26" s="16">
        <f t="shared" si="5"/>
        <v>1.1098698922991248</v>
      </c>
      <c r="H26" s="16">
        <f t="shared" si="5"/>
        <v>1.09281899485673</v>
      </c>
      <c r="I26" s="16">
        <f t="shared" si="5"/>
        <v>1.0558041270420577</v>
      </c>
      <c r="J26" s="16">
        <f t="shared" si="5"/>
        <v>1.0008134249407903</v>
      </c>
      <c r="K26" s="16">
        <f t="shared" si="5"/>
        <v>0.9365772707791019</v>
      </c>
      <c r="L26" s="16">
        <f t="shared" si="5"/>
        <v>0.8745235675857188</v>
      </c>
      <c r="M26" s="16">
        <f t="shared" si="5"/>
        <v>0.8199588064964618</v>
      </c>
      <c r="N26" s="16">
        <f t="shared" si="5"/>
        <v>0.7716898469115528</v>
      </c>
      <c r="O26" s="16">
        <f t="shared" si="5"/>
        <v>0.72749975887719</v>
      </c>
      <c r="P26" s="16">
        <f t="shared" si="5"/>
        <v>0.686772571465991</v>
      </c>
      <c r="Q26" s="16">
        <f t="shared" si="5"/>
        <v>0.650524563228786</v>
      </c>
      <c r="R26" s="16">
        <f t="shared" si="5"/>
        <v>0.6210193590792698</v>
      </c>
      <c r="S26" s="16">
        <f t="shared" si="5"/>
        <v>0.6016254319328789</v>
      </c>
      <c r="T26" s="16">
        <f t="shared" si="5"/>
        <v>0.5969058376111025</v>
      </c>
      <c r="U26" s="16">
        <f t="shared" si="5"/>
        <v>0.6125397766527008</v>
      </c>
      <c r="V26" s="16">
        <f t="shared" si="5"/>
        <v>0.6540658068740898</v>
      </c>
      <c r="W26" s="16">
        <f t="shared" si="5"/>
        <v>0.7234434310307312</v>
      </c>
      <c r="X26" s="16">
        <f t="shared" si="5"/>
        <v>0.8149789857353364</v>
      </c>
      <c r="Y26" s="16">
        <f t="shared" si="5"/>
        <v>0.9154055984301672</v>
      </c>
      <c r="Z26" s="16">
        <f t="shared" si="5"/>
        <v>1.0095958405569967</v>
      </c>
    </row>
    <row r="27" spans="1:26" ht="12.75">
      <c r="A27" s="14" t="s">
        <v>35</v>
      </c>
      <c r="B27" s="16">
        <f>B20</f>
        <v>0.017453292519943295</v>
      </c>
      <c r="C27" s="16">
        <f>B27+B26*C25</f>
        <v>0.2792526803190927</v>
      </c>
      <c r="D27" s="16">
        <f aca="true" t="shared" si="6" ref="D27:Z27">C27+C26*D25</f>
        <v>0.5410520681182421</v>
      </c>
      <c r="E27" s="16">
        <f t="shared" si="6"/>
        <v>0.8028514559173916</v>
      </c>
      <c r="F27" s="16">
        <f t="shared" si="6"/>
        <v>1.064650843716541</v>
      </c>
      <c r="G27" s="16">
        <f t="shared" si="6"/>
        <v>1.3264502315156905</v>
      </c>
      <c r="H27" s="16">
        <f t="shared" si="6"/>
        <v>1.5882496193148399</v>
      </c>
      <c r="I27" s="16">
        <f t="shared" si="6"/>
        <v>1.8500490071139892</v>
      </c>
      <c r="J27" s="16">
        <f t="shared" si="6"/>
        <v>2.111848394913139</v>
      </c>
      <c r="K27" s="16">
        <f t="shared" si="6"/>
        <v>2.3736477827122884</v>
      </c>
      <c r="L27" s="16">
        <f t="shared" si="6"/>
        <v>2.6354471705114375</v>
      </c>
      <c r="M27" s="16">
        <f t="shared" si="6"/>
        <v>2.897246558310587</v>
      </c>
      <c r="N27" s="16">
        <f t="shared" si="6"/>
        <v>3.1590459461097367</v>
      </c>
      <c r="O27" s="16">
        <f t="shared" si="6"/>
        <v>3.420845333908886</v>
      </c>
      <c r="P27" s="16">
        <f t="shared" si="6"/>
        <v>3.6826447217080354</v>
      </c>
      <c r="Q27" s="16">
        <f t="shared" si="6"/>
        <v>3.944444109507185</v>
      </c>
      <c r="R27" s="16">
        <f t="shared" si="6"/>
        <v>4.2062434973063345</v>
      </c>
      <c r="S27" s="16">
        <f t="shared" si="6"/>
        <v>4.468042885105484</v>
      </c>
      <c r="T27" s="16">
        <f t="shared" si="6"/>
        <v>4.729842272904633</v>
      </c>
      <c r="U27" s="16">
        <f t="shared" si="6"/>
        <v>4.991641660703783</v>
      </c>
      <c r="V27" s="16">
        <f t="shared" si="6"/>
        <v>5.253441048502932</v>
      </c>
      <c r="W27" s="16">
        <f t="shared" si="6"/>
        <v>5.515240436302081</v>
      </c>
      <c r="X27" s="16">
        <f t="shared" si="6"/>
        <v>5.777039824101231</v>
      </c>
      <c r="Y27" s="16">
        <f t="shared" si="6"/>
        <v>6.03883921190038</v>
      </c>
      <c r="Z27" s="16">
        <f t="shared" si="6"/>
        <v>6.300638599699529</v>
      </c>
    </row>
    <row r="28" spans="1:26" s="40" customFormat="1" ht="13.5" thickBot="1">
      <c r="A28" s="43" t="s">
        <v>36</v>
      </c>
      <c r="B28" s="44">
        <f>B27-B20</f>
        <v>0</v>
      </c>
      <c r="C28" s="44">
        <f aca="true" t="shared" si="7" ref="C28:Z28">C27-C20</f>
        <v>0</v>
      </c>
      <c r="D28" s="44">
        <f t="shared" si="7"/>
        <v>0</v>
      </c>
      <c r="E28" s="44">
        <f t="shared" si="7"/>
        <v>0</v>
      </c>
      <c r="F28" s="44">
        <f t="shared" si="7"/>
        <v>0</v>
      </c>
      <c r="G28" s="44">
        <f t="shared" si="7"/>
        <v>0</v>
      </c>
      <c r="H28" s="44">
        <f t="shared" si="7"/>
        <v>0</v>
      </c>
      <c r="I28" s="44">
        <f t="shared" si="7"/>
        <v>0</v>
      </c>
      <c r="J28" s="44">
        <f t="shared" si="7"/>
        <v>0</v>
      </c>
      <c r="K28" s="44">
        <f t="shared" si="7"/>
        <v>0</v>
      </c>
      <c r="L28" s="44">
        <f t="shared" si="7"/>
        <v>0</v>
      </c>
      <c r="M28" s="44">
        <f t="shared" si="7"/>
        <v>0</v>
      </c>
      <c r="N28" s="44">
        <f t="shared" si="7"/>
        <v>0</v>
      </c>
      <c r="O28" s="44">
        <f t="shared" si="7"/>
        <v>0</v>
      </c>
      <c r="P28" s="44">
        <f t="shared" si="7"/>
        <v>0</v>
      </c>
      <c r="Q28" s="44">
        <f t="shared" si="7"/>
        <v>0</v>
      </c>
      <c r="R28" s="44">
        <f t="shared" si="7"/>
        <v>0</v>
      </c>
      <c r="S28" s="44">
        <f t="shared" si="7"/>
        <v>0</v>
      </c>
      <c r="T28" s="44">
        <f t="shared" si="7"/>
        <v>0</v>
      </c>
      <c r="U28" s="44">
        <f t="shared" si="7"/>
        <v>0</v>
      </c>
      <c r="V28" s="44">
        <f t="shared" si="7"/>
        <v>0</v>
      </c>
      <c r="W28" s="44">
        <f t="shared" si="7"/>
        <v>0</v>
      </c>
      <c r="X28" s="44">
        <f t="shared" si="7"/>
        <v>0</v>
      </c>
      <c r="Y28" s="44">
        <f t="shared" si="7"/>
        <v>0</v>
      </c>
      <c r="Z28" s="44">
        <f t="shared" si="7"/>
        <v>0</v>
      </c>
    </row>
    <row r="29" spans="1:2" ht="16.5" thickBot="1">
      <c r="A29" s="65" t="s">
        <v>37</v>
      </c>
      <c r="B29" s="66"/>
    </row>
    <row r="30" spans="1:26" ht="13.5" thickBot="1">
      <c r="A30" s="5" t="s">
        <v>38</v>
      </c>
      <c r="B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26" t="s">
        <v>39</v>
      </c>
      <c r="B31" s="27">
        <f>$F$5*COS(B21)-$G$5*SIN(B21)</f>
        <v>0.9998476951563913</v>
      </c>
      <c r="C31" s="27">
        <f aca="true" t="shared" si="8" ref="C31:Z31">$F$5*COS(C21)-$G$5*SIN(C21)</f>
        <v>0.9612616959383189</v>
      </c>
      <c r="D31" s="27">
        <f t="shared" si="8"/>
        <v>0.8571673007021124</v>
      </c>
      <c r="E31" s="27">
        <f t="shared" si="8"/>
        <v>0.6946583704589974</v>
      </c>
      <c r="F31" s="27">
        <f t="shared" si="8"/>
        <v>0.48480962024633717</v>
      </c>
      <c r="G31" s="27">
        <f t="shared" si="8"/>
        <v>0.24192189559966773</v>
      </c>
      <c r="H31" s="27">
        <f t="shared" si="8"/>
        <v>-0.01745240643728345</v>
      </c>
      <c r="I31" s="27">
        <f t="shared" si="8"/>
        <v>-0.2756373558169991</v>
      </c>
      <c r="J31" s="27">
        <f t="shared" si="8"/>
        <v>-0.5150380749100545</v>
      </c>
      <c r="K31" s="27">
        <f t="shared" si="8"/>
        <v>-0.7193398003386514</v>
      </c>
      <c r="L31" s="27">
        <f t="shared" si="8"/>
        <v>-0.8746197071393959</v>
      </c>
      <c r="M31" s="27">
        <f t="shared" si="8"/>
        <v>-0.9702957262759966</v>
      </c>
      <c r="N31" s="27">
        <f t="shared" si="8"/>
        <v>-0.9998476951563913</v>
      </c>
      <c r="O31" s="27">
        <f t="shared" si="8"/>
        <v>-0.9612616959383189</v>
      </c>
      <c r="P31" s="27">
        <f t="shared" si="8"/>
        <v>-0.8571673007021123</v>
      </c>
      <c r="Q31" s="27">
        <f t="shared" si="8"/>
        <v>-0.6946583704589971</v>
      </c>
      <c r="R31" s="27">
        <f t="shared" si="8"/>
        <v>-0.48480962024633667</v>
      </c>
      <c r="S31" s="27">
        <f t="shared" si="8"/>
        <v>-0.24192189559966762</v>
      </c>
      <c r="T31" s="27">
        <f t="shared" si="8"/>
        <v>0.017452406437283328</v>
      </c>
      <c r="U31" s="27">
        <f t="shared" si="8"/>
        <v>0.27563735581699955</v>
      </c>
      <c r="V31" s="27">
        <f t="shared" si="8"/>
        <v>0.5150380749100544</v>
      </c>
      <c r="W31" s="27">
        <f t="shared" si="8"/>
        <v>0.719339800338651</v>
      </c>
      <c r="X31" s="27">
        <f t="shared" si="8"/>
        <v>0.874619707139396</v>
      </c>
      <c r="Y31" s="27">
        <f t="shared" si="8"/>
        <v>0.9702957262759966</v>
      </c>
      <c r="Z31" s="27">
        <f t="shared" si="8"/>
        <v>0.9998476951563913</v>
      </c>
    </row>
    <row r="32" spans="1:26" ht="12.75">
      <c r="A32" s="28" t="s">
        <v>40</v>
      </c>
      <c r="B32" s="16">
        <f>$F$5*SIN(B21)+$G$5*COS(B21)</f>
        <v>0.01745240643728351</v>
      </c>
      <c r="C32" s="16">
        <f aca="true" t="shared" si="9" ref="C32:Z32">$F$5*SIN(C21)+$G$5*COS(C21)</f>
        <v>0.2756373558169992</v>
      </c>
      <c r="D32" s="16">
        <f t="shared" si="9"/>
        <v>0.5150380749100542</v>
      </c>
      <c r="E32" s="16">
        <f t="shared" si="9"/>
        <v>0.7193398003386511</v>
      </c>
      <c r="F32" s="16">
        <f t="shared" si="9"/>
        <v>0.8746197071393957</v>
      </c>
      <c r="G32" s="16">
        <f t="shared" si="9"/>
        <v>0.9702957262759966</v>
      </c>
      <c r="H32" s="16">
        <f t="shared" si="9"/>
        <v>0.9998476951563913</v>
      </c>
      <c r="I32" s="16">
        <f t="shared" si="9"/>
        <v>0.9612616959383189</v>
      </c>
      <c r="J32" s="16">
        <f t="shared" si="9"/>
        <v>0.8571673007021121</v>
      </c>
      <c r="K32" s="16">
        <f t="shared" si="9"/>
        <v>0.694658370458997</v>
      </c>
      <c r="L32" s="16">
        <f t="shared" si="9"/>
        <v>0.484809620246337</v>
      </c>
      <c r="M32" s="16">
        <f t="shared" si="9"/>
        <v>0.24192189559966756</v>
      </c>
      <c r="N32" s="16">
        <f t="shared" si="9"/>
        <v>-0.017452406437283834</v>
      </c>
      <c r="O32" s="16">
        <f t="shared" si="9"/>
        <v>-0.2756373558169992</v>
      </c>
      <c r="P32" s="16">
        <f t="shared" si="9"/>
        <v>-0.5150380749100544</v>
      </c>
      <c r="Q32" s="16">
        <f t="shared" si="9"/>
        <v>-0.7193398003386513</v>
      </c>
      <c r="R32" s="16">
        <f t="shared" si="9"/>
        <v>-0.874619707139396</v>
      </c>
      <c r="S32" s="16">
        <f t="shared" si="9"/>
        <v>-0.9702957262759966</v>
      </c>
      <c r="T32" s="16">
        <f t="shared" si="9"/>
        <v>-0.9998476951563913</v>
      </c>
      <c r="U32" s="16">
        <f t="shared" si="9"/>
        <v>-0.9612616959383188</v>
      </c>
      <c r="V32" s="16">
        <f t="shared" si="9"/>
        <v>-0.8571673007021123</v>
      </c>
      <c r="W32" s="16">
        <f t="shared" si="9"/>
        <v>-0.6946583704589975</v>
      </c>
      <c r="X32" s="16">
        <f t="shared" si="9"/>
        <v>-0.4848096202463367</v>
      </c>
      <c r="Y32" s="16">
        <f t="shared" si="9"/>
        <v>-0.24192189559966767</v>
      </c>
      <c r="Z32" s="16">
        <f t="shared" si="9"/>
        <v>0.017452406437283265</v>
      </c>
    </row>
    <row r="33" spans="1:26" ht="12.75">
      <c r="A33" s="28" t="s">
        <v>41</v>
      </c>
      <c r="B33" s="16">
        <f>-B26*B32</f>
        <v>-0.01745240643728351</v>
      </c>
      <c r="C33" s="16">
        <f aca="true" t="shared" si="10" ref="C33:Z33">-C26*C32</f>
        <v>-0.2756373558169992</v>
      </c>
      <c r="D33" s="16">
        <f t="shared" si="10"/>
        <v>-0.5412463461967965</v>
      </c>
      <c r="E33" s="16">
        <f t="shared" si="10"/>
        <v>-0.7832039476219121</v>
      </c>
      <c r="F33" s="16">
        <f t="shared" si="10"/>
        <v>-0.9693464874551402</v>
      </c>
      <c r="G33" s="16">
        <f t="shared" si="10"/>
        <v>-1.0769020132202414</v>
      </c>
      <c r="H33" s="16">
        <f t="shared" si="10"/>
        <v>-1.0926525532306257</v>
      </c>
      <c r="I33" s="16">
        <f t="shared" si="10"/>
        <v>-1.0149040657391246</v>
      </c>
      <c r="J33" s="16">
        <f t="shared" si="10"/>
        <v>-0.857864541962933</v>
      </c>
      <c r="K33" s="16">
        <f t="shared" si="10"/>
        <v>-0.6506012407283458</v>
      </c>
      <c r="L33" s="16">
        <f t="shared" si="10"/>
        <v>-0.42397743869770416</v>
      </c>
      <c r="M33" s="16">
        <f t="shared" si="10"/>
        <v>-0.19836598878126505</v>
      </c>
      <c r="N33" s="16">
        <f t="shared" si="10"/>
        <v>0.013467844851825762</v>
      </c>
      <c r="O33" s="16">
        <f t="shared" si="10"/>
        <v>0.20052610989441316</v>
      </c>
      <c r="P33" s="16">
        <f t="shared" si="10"/>
        <v>0.35371402310887173</v>
      </c>
      <c r="Q33" s="16">
        <f t="shared" si="10"/>
        <v>0.4679482094283833</v>
      </c>
      <c r="R33" s="16">
        <f t="shared" si="10"/>
        <v>0.5431557699658063</v>
      </c>
      <c r="S33" s="16">
        <f t="shared" si="10"/>
        <v>0.5837545854234228</v>
      </c>
      <c r="T33" s="16">
        <f t="shared" si="10"/>
        <v>0.596814925960856</v>
      </c>
      <c r="U33" s="16">
        <f t="shared" si="10"/>
        <v>0.5888110245348541</v>
      </c>
      <c r="V33" s="16">
        <f t="shared" si="10"/>
        <v>0.5606438221598127</v>
      </c>
      <c r="W33" s="16">
        <f t="shared" si="10"/>
        <v>0.5025460349190738</v>
      </c>
      <c r="X33" s="16">
        <f t="shared" si="10"/>
        <v>0.39510965258309316</v>
      </c>
      <c r="Y33" s="16">
        <f t="shared" si="10"/>
        <v>0.22145665761477423</v>
      </c>
      <c r="Z33" s="16">
        <f t="shared" si="10"/>
        <v>-0.01761987694679134</v>
      </c>
    </row>
    <row r="34" spans="1:26" ht="12.75">
      <c r="A34" s="28" t="s">
        <v>42</v>
      </c>
      <c r="B34" s="16">
        <f>B26*B31</f>
        <v>0.9998476951563913</v>
      </c>
      <c r="C34" s="16">
        <f aca="true" t="shared" si="11" ref="C34:Z34">C26*C31</f>
        <v>0.9612616959383189</v>
      </c>
      <c r="D34" s="16">
        <f t="shared" si="11"/>
        <v>0.9007851888725139</v>
      </c>
      <c r="E34" s="16">
        <f t="shared" si="11"/>
        <v>0.7563312606030682</v>
      </c>
      <c r="F34" s="16">
        <f t="shared" si="11"/>
        <v>0.5373175319903323</v>
      </c>
      <c r="G34" s="16">
        <f t="shared" si="11"/>
        <v>0.2685018282140033</v>
      </c>
      <c r="H34" s="16">
        <f t="shared" si="11"/>
        <v>-0.019072321260623224</v>
      </c>
      <c r="I34" s="16">
        <f t="shared" si="11"/>
        <v>-0.2910190578385478</v>
      </c>
      <c r="J34" s="16">
        <f t="shared" si="11"/>
        <v>-0.515457019725643</v>
      </c>
      <c r="K34" s="16">
        <f t="shared" si="11"/>
        <v>-0.6737173069639583</v>
      </c>
      <c r="L34" s="16">
        <f t="shared" si="11"/>
        <v>-0.764875546568321</v>
      </c>
      <c r="M34" s="16">
        <f t="shared" si="11"/>
        <v>-0.7956025256658837</v>
      </c>
      <c r="N34" s="16">
        <f t="shared" si="11"/>
        <v>-0.7715723148101046</v>
      </c>
      <c r="O34" s="16">
        <f t="shared" si="11"/>
        <v>-0.6993176520130057</v>
      </c>
      <c r="P34" s="16">
        <f t="shared" si="11"/>
        <v>-0.5886789912797521</v>
      </c>
      <c r="Q34" s="16">
        <f t="shared" si="11"/>
        <v>-0.45189233303605936</v>
      </c>
      <c r="R34" s="16">
        <f t="shared" si="11"/>
        <v>-0.30107615964084417</v>
      </c>
      <c r="S34" s="16">
        <f t="shared" si="11"/>
        <v>-0.14554636493417086</v>
      </c>
      <c r="T34" s="16">
        <f t="shared" si="11"/>
        <v>0.010417443282776002</v>
      </c>
      <c r="U34" s="16">
        <f t="shared" si="11"/>
        <v>0.16883884436928592</v>
      </c>
      <c r="V34" s="16">
        <f t="shared" si="11"/>
        <v>0.3368687940369226</v>
      </c>
      <c r="W34" s="16">
        <f t="shared" si="11"/>
        <v>0.5204016532339548</v>
      </c>
      <c r="X34" s="16">
        <f t="shared" si="11"/>
        <v>0.7127966818286019</v>
      </c>
      <c r="Y34" s="16">
        <f t="shared" si="11"/>
        <v>0.8882141399659124</v>
      </c>
      <c r="Z34" s="16">
        <f t="shared" si="11"/>
        <v>1.0094420742203927</v>
      </c>
    </row>
    <row r="35" spans="1:26" ht="12" customHeight="1">
      <c r="A35" s="28" t="s">
        <v>43</v>
      </c>
      <c r="B35" s="16">
        <f>-B24*B32-B26*B34</f>
        <v>-0.9998476951563913</v>
      </c>
      <c r="C35" s="16">
        <f aca="true" t="shared" si="12" ref="C35:Z35">-C24*C32-C26*C34</f>
        <v>-1.014837474134422</v>
      </c>
      <c r="D35" s="16">
        <f t="shared" si="12"/>
        <v>-1.0211745115691166</v>
      </c>
      <c r="E35" s="16">
        <f t="shared" si="12"/>
        <v>-0.8798568442605117</v>
      </c>
      <c r="F35" s="16">
        <f t="shared" si="12"/>
        <v>-0.6011999771951899</v>
      </c>
      <c r="G35" s="16">
        <f t="shared" si="12"/>
        <v>-0.22796267915427146</v>
      </c>
      <c r="H35" s="16">
        <f t="shared" si="12"/>
        <v>0.17773918191368615</v>
      </c>
      <c r="I35" s="16">
        <f t="shared" si="12"/>
        <v>0.5279124645593078</v>
      </c>
      <c r="J35" s="16">
        <f t="shared" si="12"/>
        <v>0.7379309468586842</v>
      </c>
      <c r="K35" s="16">
        <f t="shared" si="12"/>
        <v>0.7957755161011147</v>
      </c>
      <c r="L35" s="16">
        <f t="shared" si="12"/>
        <v>0.7635381490901101</v>
      </c>
      <c r="M35" s="16">
        <f t="shared" si="12"/>
        <v>0.6913686077558661</v>
      </c>
      <c r="N35" s="16">
        <f t="shared" si="12"/>
        <v>0.5929990406780408</v>
      </c>
      <c r="O35" s="16">
        <f t="shared" si="12"/>
        <v>0.4756634318547264</v>
      </c>
      <c r="P35" s="16">
        <f t="shared" si="12"/>
        <v>0.35241004871803805</v>
      </c>
      <c r="Q35" s="16">
        <f t="shared" si="12"/>
        <v>0.23828990839128933</v>
      </c>
      <c r="R35" s="16">
        <f t="shared" si="12"/>
        <v>0.1448258208657912</v>
      </c>
      <c r="S35" s="16">
        <f t="shared" si="12"/>
        <v>0.07670150670343714</v>
      </c>
      <c r="T35" s="16">
        <f t="shared" si="12"/>
        <v>0.029703710664399592</v>
      </c>
      <c r="U35" s="16">
        <f t="shared" si="12"/>
        <v>-0.012408383510558674</v>
      </c>
      <c r="V35" s="16">
        <f t="shared" si="12"/>
        <v>-0.08119477971095113</v>
      </c>
      <c r="W35" s="16">
        <f t="shared" si="12"/>
        <v>-0.2176213946241095</v>
      </c>
      <c r="X35" s="16">
        <f t="shared" si="12"/>
        <v>-0.4463729006738969</v>
      </c>
      <c r="Y35" s="16">
        <f t="shared" si="12"/>
        <v>-0.7421414738406374</v>
      </c>
      <c r="Z35" s="16">
        <f t="shared" si="12"/>
        <v>-1.0238330856923303</v>
      </c>
    </row>
    <row r="36" spans="1:26" ht="12.75">
      <c r="A36" s="28" t="s">
        <v>44</v>
      </c>
      <c r="B36" s="16">
        <f>B24*B31-B32*(B26)^2</f>
        <v>-0.01745240643728351</v>
      </c>
      <c r="C36" s="16">
        <f aca="true" t="shared" si="13" ref="C36:Z36">C24*C31-C32*(C26)^2</f>
        <v>-0.08879641309589248</v>
      </c>
      <c r="D36" s="16">
        <f t="shared" si="13"/>
        <v>-0.4447130713122041</v>
      </c>
      <c r="E36" s="16">
        <f t="shared" si="13"/>
        <v>-0.7982951553555451</v>
      </c>
      <c r="F36" s="16">
        <f t="shared" si="13"/>
        <v>-1.071180082774393</v>
      </c>
      <c r="G36" s="16">
        <f t="shared" si="13"/>
        <v>-1.212683909142968</v>
      </c>
      <c r="H36" s="16">
        <f t="shared" si="13"/>
        <v>-1.1913328248366584</v>
      </c>
      <c r="I36" s="16">
        <f t="shared" si="13"/>
        <v>-1.008268573417982</v>
      </c>
      <c r="J36" s="16">
        <f t="shared" si="13"/>
        <v>-0.7251384610051455</v>
      </c>
      <c r="K36" s="16">
        <f t="shared" si="13"/>
        <v>-0.43869619403291404</v>
      </c>
      <c r="L36" s="16">
        <f t="shared" si="13"/>
        <v>-0.2000495738236904</v>
      </c>
      <c r="M36" s="16">
        <f t="shared" si="13"/>
        <v>-0.006202162728926763</v>
      </c>
      <c r="N36" s="16">
        <f t="shared" si="13"/>
        <v>0.14877580257005585</v>
      </c>
      <c r="O36" s="16">
        <f t="shared" si="13"/>
        <v>0.2612812104237024</v>
      </c>
      <c r="P36" s="16">
        <f t="shared" si="13"/>
        <v>0.3292614720721083</v>
      </c>
      <c r="Q36" s="16">
        <f t="shared" si="13"/>
        <v>0.35817860736023294</v>
      </c>
      <c r="R36" s="16">
        <f t="shared" si="13"/>
        <v>0.36067343390553436</v>
      </c>
      <c r="S36" s="16">
        <f t="shared" si="13"/>
        <v>0.3539100267599231</v>
      </c>
      <c r="T36" s="16">
        <f t="shared" si="13"/>
        <v>0.3568693331333941</v>
      </c>
      <c r="U36" s="16">
        <f t="shared" si="13"/>
        <v>0.3867674802104912</v>
      </c>
      <c r="V36" s="16">
        <f t="shared" si="13"/>
        <v>0.45030144800276184</v>
      </c>
      <c r="W36" s="16">
        <f t="shared" si="13"/>
        <v>0.5280677278830007</v>
      </c>
      <c r="X36" s="16">
        <f t="shared" si="13"/>
        <v>0.5647252036556509</v>
      </c>
      <c r="Y36" s="16">
        <f t="shared" si="13"/>
        <v>0.4872262966747143</v>
      </c>
      <c r="Z36" s="16">
        <f t="shared" si="13"/>
        <v>0.25173546697594845</v>
      </c>
    </row>
    <row r="37" spans="1:26" s="46" customFormat="1" ht="13.5" thickBot="1">
      <c r="A37" s="43" t="s">
        <v>45</v>
      </c>
      <c r="B37" s="45">
        <f>(B31)^2+(B32)^2-($D$5)^2</f>
        <v>0</v>
      </c>
      <c r="C37" s="45">
        <f aca="true" t="shared" si="14" ref="C37:Z37">(C31)^2+(C32)^2-($D$5)^2</f>
        <v>0</v>
      </c>
      <c r="D37" s="45">
        <f t="shared" si="14"/>
        <v>0</v>
      </c>
      <c r="E37" s="45">
        <f t="shared" si="14"/>
        <v>0</v>
      </c>
      <c r="F37" s="45">
        <f t="shared" si="14"/>
        <v>0</v>
      </c>
      <c r="G37" s="45">
        <f t="shared" si="14"/>
        <v>0</v>
      </c>
      <c r="H37" s="45">
        <f t="shared" si="14"/>
        <v>0</v>
      </c>
      <c r="I37" s="45">
        <f t="shared" si="14"/>
        <v>0</v>
      </c>
      <c r="J37" s="45">
        <f t="shared" si="14"/>
        <v>0</v>
      </c>
      <c r="K37" s="45">
        <f t="shared" si="14"/>
        <v>0</v>
      </c>
      <c r="L37" s="45">
        <f t="shared" si="14"/>
        <v>0</v>
      </c>
      <c r="M37" s="45">
        <f t="shared" si="14"/>
        <v>0</v>
      </c>
      <c r="N37" s="45">
        <f t="shared" si="14"/>
        <v>0</v>
      </c>
      <c r="O37" s="45">
        <f t="shared" si="14"/>
        <v>0</v>
      </c>
      <c r="P37" s="45">
        <f t="shared" si="14"/>
        <v>0</v>
      </c>
      <c r="Q37" s="45">
        <f t="shared" si="14"/>
        <v>0</v>
      </c>
      <c r="R37" s="45">
        <f t="shared" si="14"/>
        <v>0</v>
      </c>
      <c r="S37" s="45">
        <f t="shared" si="14"/>
        <v>0</v>
      </c>
      <c r="T37" s="45">
        <f t="shared" si="14"/>
        <v>0</v>
      </c>
      <c r="U37" s="45">
        <f t="shared" si="14"/>
        <v>0</v>
      </c>
      <c r="V37" s="45">
        <f t="shared" si="14"/>
        <v>0</v>
      </c>
      <c r="W37" s="45">
        <f t="shared" si="14"/>
        <v>0</v>
      </c>
      <c r="X37" s="45">
        <f t="shared" si="14"/>
        <v>0</v>
      </c>
      <c r="Y37" s="45">
        <f t="shared" si="14"/>
        <v>0</v>
      </c>
      <c r="Z37" s="45">
        <f t="shared" si="14"/>
        <v>0</v>
      </c>
    </row>
    <row r="38" ht="13.5" thickBot="1"/>
    <row r="39" spans="1:4" ht="13.5" thickBot="1">
      <c r="A39" s="23" t="s">
        <v>64</v>
      </c>
      <c r="B39" s="24"/>
      <c r="C39" s="24"/>
      <c r="D39" s="29"/>
    </row>
    <row r="40" spans="1:256" ht="12.75">
      <c r="A40" s="30" t="s">
        <v>54</v>
      </c>
      <c r="B40" s="31">
        <f>(-($D$16*B31-B32-$B$15)/SQRT($D$16^2+1))</f>
        <v>1.7958790333529233</v>
      </c>
      <c r="C40" s="31">
        <f aca="true" t="shared" si="15" ref="C40:Z40">(-($D$16*C31-C32-$B$15)/SQRT($D$16^2+1))</f>
        <v>2.050743433930934</v>
      </c>
      <c r="D40" s="31">
        <f t="shared" si="15"/>
        <v>2.3115473543455223</v>
      </c>
      <c r="E40" s="31">
        <f t="shared" si="15"/>
        <v>2.5605174384192915</v>
      </c>
      <c r="F40" s="31">
        <f t="shared" si="15"/>
        <v>2.7806867863651314</v>
      </c>
      <c r="G40" s="31">
        <f t="shared" si="15"/>
        <v>2.957051220967584</v>
      </c>
      <c r="H40" s="31">
        <f t="shared" si="15"/>
        <v>3.0775917974645006</v>
      </c>
      <c r="I40" s="31">
        <f t="shared" si="15"/>
        <v>3.1340938747703375</v>
      </c>
      <c r="J40" s="31">
        <f t="shared" si="15"/>
        <v>3.1227069296908003</v>
      </c>
      <c r="K40" s="31">
        <f t="shared" si="15"/>
        <v>3.044206963715242</v>
      </c>
      <c r="L40" s="31">
        <f t="shared" si="15"/>
        <v>2.90394361979757</v>
      </c>
      <c r="M40" s="31">
        <f t="shared" si="15"/>
        <v>2.7114756130296382</v>
      </c>
      <c r="N40" s="31">
        <f t="shared" si="15"/>
        <v>2.4799193200042606</v>
      </c>
      <c r="O40" s="31">
        <f t="shared" si="15"/>
        <v>2.22505491942625</v>
      </c>
      <c r="P40" s="31">
        <f t="shared" si="15"/>
        <v>1.9642509990116614</v>
      </c>
      <c r="Q40" s="31">
        <f t="shared" si="15"/>
        <v>1.7152809149378925</v>
      </c>
      <c r="R40" s="31">
        <f t="shared" si="15"/>
        <v>1.4951115669920525</v>
      </c>
      <c r="S40" s="31">
        <f t="shared" si="15"/>
        <v>1.3187471323896003</v>
      </c>
      <c r="T40" s="31">
        <f t="shared" si="15"/>
        <v>1.1982065558926838</v>
      </c>
      <c r="U40" s="31">
        <f t="shared" si="15"/>
        <v>1.1417044785868464</v>
      </c>
      <c r="V40" s="31">
        <f t="shared" si="15"/>
        <v>1.1530914236663838</v>
      </c>
      <c r="W40" s="31">
        <f t="shared" si="15"/>
        <v>1.231591389641942</v>
      </c>
      <c r="X40" s="31">
        <f t="shared" si="15"/>
        <v>1.3718547335596143</v>
      </c>
      <c r="Y40" s="31">
        <f t="shared" si="15"/>
        <v>1.5643227403275461</v>
      </c>
      <c r="Z40" s="31">
        <f t="shared" si="15"/>
        <v>1.795879033352923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2.75">
      <c r="A41" s="33" t="s">
        <v>55</v>
      </c>
      <c r="B41" s="34">
        <f>B40/$D$6</f>
        <v>0.48934033606346683</v>
      </c>
      <c r="C41" s="34">
        <f aca="true" t="shared" si="16" ref="C41:Z41">C40/$D$6</f>
        <v>0.558785676820418</v>
      </c>
      <c r="D41" s="34">
        <f t="shared" si="16"/>
        <v>0.6298494153530033</v>
      </c>
      <c r="E41" s="34">
        <f t="shared" si="16"/>
        <v>0.697688675318608</v>
      </c>
      <c r="F41" s="34">
        <f t="shared" si="16"/>
        <v>0.7576803232602538</v>
      </c>
      <c r="G41" s="34">
        <f t="shared" si="16"/>
        <v>0.8057360275116033</v>
      </c>
      <c r="H41" s="34">
        <f t="shared" si="16"/>
        <v>0.8385808712437332</v>
      </c>
      <c r="I41" s="34">
        <f t="shared" si="16"/>
        <v>0.8539765326349694</v>
      </c>
      <c r="J41" s="34">
        <f t="shared" si="16"/>
        <v>0.8508738228040328</v>
      </c>
      <c r="K41" s="34">
        <f t="shared" si="16"/>
        <v>0.829484186298431</v>
      </c>
      <c r="L41" s="34">
        <f t="shared" si="16"/>
        <v>0.7912652914979755</v>
      </c>
      <c r="M41" s="34">
        <f t="shared" si="16"/>
        <v>0.7388216929236071</v>
      </c>
      <c r="N41" s="34">
        <f t="shared" si="16"/>
        <v>0.6757273351510247</v>
      </c>
      <c r="O41" s="34">
        <f t="shared" si="16"/>
        <v>0.6062819943940736</v>
      </c>
      <c r="P41" s="34">
        <f t="shared" si="16"/>
        <v>0.5352182558614882</v>
      </c>
      <c r="Q41" s="34">
        <f t="shared" si="16"/>
        <v>0.4673789958958835</v>
      </c>
      <c r="R41" s="34">
        <f t="shared" si="16"/>
        <v>0.40738734795423776</v>
      </c>
      <c r="S41" s="34">
        <f t="shared" si="16"/>
        <v>0.3593316437028884</v>
      </c>
      <c r="T41" s="34">
        <f t="shared" si="16"/>
        <v>0.3264867999707585</v>
      </c>
      <c r="U41" s="34">
        <f t="shared" si="16"/>
        <v>0.3110911385795222</v>
      </c>
      <c r="V41" s="34">
        <f t="shared" si="16"/>
        <v>0.31419384841045883</v>
      </c>
      <c r="W41" s="34">
        <f t="shared" si="16"/>
        <v>0.3355834849160605</v>
      </c>
      <c r="X41" s="34">
        <f t="shared" si="16"/>
        <v>0.37380237971651614</v>
      </c>
      <c r="Y41" s="34">
        <f t="shared" si="16"/>
        <v>0.4262459782908845</v>
      </c>
      <c r="Z41" s="34">
        <f t="shared" si="16"/>
        <v>0.4893403360634668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6" ht="12.75">
      <c r="A42" s="33" t="s">
        <v>56</v>
      </c>
      <c r="B42" s="32">
        <f>ASIN(B41)</f>
        <v>0.5113331775208972</v>
      </c>
      <c r="C42" s="32">
        <f aca="true" t="shared" si="17" ref="C42:Z42">ASIN(C41)</f>
        <v>0.5929208229098493</v>
      </c>
      <c r="D42" s="32">
        <f t="shared" si="17"/>
        <v>0.6813593231392658</v>
      </c>
      <c r="E42" s="32">
        <f t="shared" si="17"/>
        <v>0.772166106609065</v>
      </c>
      <c r="F42" s="32">
        <f t="shared" si="17"/>
        <v>0.8597513689500037</v>
      </c>
      <c r="G42" s="32">
        <f t="shared" si="17"/>
        <v>0.9369171326735202</v>
      </c>
      <c r="H42" s="32">
        <f t="shared" si="17"/>
        <v>0.9946730043316996</v>
      </c>
      <c r="I42" s="32">
        <f t="shared" si="17"/>
        <v>1.0235806247314876</v>
      </c>
      <c r="J42" s="32">
        <f t="shared" si="17"/>
        <v>1.0176463122843762</v>
      </c>
      <c r="K42" s="32">
        <f t="shared" si="17"/>
        <v>0.9781835302407924</v>
      </c>
      <c r="L42" s="32">
        <f t="shared" si="17"/>
        <v>0.9128754874747238</v>
      </c>
      <c r="M42" s="32">
        <f t="shared" si="17"/>
        <v>0.8313201913556443</v>
      </c>
      <c r="N42" s="32">
        <f t="shared" si="17"/>
        <v>0.7419509397457691</v>
      </c>
      <c r="O42" s="32">
        <f t="shared" si="17"/>
        <v>0.6513769438786517</v>
      </c>
      <c r="P42" s="32">
        <f t="shared" si="17"/>
        <v>0.5647661044609554</v>
      </c>
      <c r="Q42" s="32">
        <f t="shared" si="17"/>
        <v>0.486323701131004</v>
      </c>
      <c r="R42" s="32">
        <f t="shared" si="17"/>
        <v>0.41959141868470434</v>
      </c>
      <c r="S42" s="32">
        <f t="shared" si="17"/>
        <v>0.3675516038693688</v>
      </c>
      <c r="T42" s="32">
        <f t="shared" si="17"/>
        <v>0.3325842990967179</v>
      </c>
      <c r="U42" s="32">
        <f t="shared" si="17"/>
        <v>0.31634092461798036</v>
      </c>
      <c r="V42" s="32">
        <f t="shared" si="17"/>
        <v>0.3196073808847065</v>
      </c>
      <c r="W42" s="32">
        <f t="shared" si="17"/>
        <v>0.3422245656731957</v>
      </c>
      <c r="X42" s="32">
        <f t="shared" si="17"/>
        <v>0.3831052148430226</v>
      </c>
      <c r="Y42" s="32">
        <f t="shared" si="17"/>
        <v>0.44033880863697916</v>
      </c>
      <c r="Z42" s="32">
        <f t="shared" si="17"/>
        <v>0.5113331775208971</v>
      </c>
    </row>
    <row r="43" spans="1:26" ht="12.75">
      <c r="A43" s="33" t="s">
        <v>57</v>
      </c>
      <c r="B43" s="32">
        <f>$D$15-B42</f>
        <v>-0.14481403460208803</v>
      </c>
      <c r="C43" s="32">
        <f aca="true" t="shared" si="18" ref="C43:Z43">$D$15-C42</f>
        <v>-0.22640167999104005</v>
      </c>
      <c r="D43" s="32">
        <f t="shared" si="18"/>
        <v>-0.3148401802204566</v>
      </c>
      <c r="E43" s="32">
        <f t="shared" si="18"/>
        <v>-0.4056469636902558</v>
      </c>
      <c r="F43" s="32">
        <f t="shared" si="18"/>
        <v>-0.4932322260311945</v>
      </c>
      <c r="G43" s="32">
        <f t="shared" si="18"/>
        <v>-0.5703979897547109</v>
      </c>
      <c r="H43" s="32">
        <f t="shared" si="18"/>
        <v>-0.6281538614128903</v>
      </c>
      <c r="I43" s="32">
        <f t="shared" si="18"/>
        <v>-0.6570614818126783</v>
      </c>
      <c r="J43" s="32">
        <f t="shared" si="18"/>
        <v>-0.6511271693655669</v>
      </c>
      <c r="K43" s="32">
        <f t="shared" si="18"/>
        <v>-0.6116643873219831</v>
      </c>
      <c r="L43" s="32">
        <f t="shared" si="18"/>
        <v>-0.5463563445559145</v>
      </c>
      <c r="M43" s="32">
        <f t="shared" si="18"/>
        <v>-0.46480104843683506</v>
      </c>
      <c r="N43" s="32">
        <f t="shared" si="18"/>
        <v>-0.3754317968269599</v>
      </c>
      <c r="O43" s="32">
        <f t="shared" si="18"/>
        <v>-0.28485780095984253</v>
      </c>
      <c r="P43" s="32">
        <f t="shared" si="18"/>
        <v>-0.19824696154214622</v>
      </c>
      <c r="Q43" s="32">
        <f t="shared" si="18"/>
        <v>-0.11980455821219477</v>
      </c>
      <c r="R43" s="32">
        <f t="shared" si="18"/>
        <v>-0.05307227576589513</v>
      </c>
      <c r="S43" s="32">
        <f t="shared" si="18"/>
        <v>-0.0010324609505595883</v>
      </c>
      <c r="T43" s="32">
        <f t="shared" si="18"/>
        <v>0.03393484382209133</v>
      </c>
      <c r="U43" s="32">
        <f t="shared" si="18"/>
        <v>0.05017821830082886</v>
      </c>
      <c r="V43" s="32">
        <f t="shared" si="18"/>
        <v>0.04691176203410269</v>
      </c>
      <c r="W43" s="32">
        <f t="shared" si="18"/>
        <v>0.024294577245613513</v>
      </c>
      <c r="X43" s="32">
        <f t="shared" si="18"/>
        <v>-0.016586071924213408</v>
      </c>
      <c r="Y43" s="32">
        <f t="shared" si="18"/>
        <v>-0.07381966571816995</v>
      </c>
      <c r="Z43" s="32">
        <f t="shared" si="18"/>
        <v>-0.14481403460208792</v>
      </c>
    </row>
    <row r="44" spans="1:26" ht="12.75">
      <c r="A44" s="33" t="s">
        <v>58</v>
      </c>
      <c r="B44" s="32">
        <f>DEGREES(B43)</f>
        <v>-8.29723299696111</v>
      </c>
      <c r="C44" s="32">
        <f aca="true" t="shared" si="19" ref="C44:Z44">DEGREES(C43)</f>
        <v>-12.971860738158053</v>
      </c>
      <c r="D44" s="32">
        <f t="shared" si="19"/>
        <v>-18.039013547770384</v>
      </c>
      <c r="E44" s="32">
        <f t="shared" si="19"/>
        <v>-23.24185899174821</v>
      </c>
      <c r="F44" s="32">
        <f t="shared" si="19"/>
        <v>-28.260124871430104</v>
      </c>
      <c r="G44" s="32">
        <f t="shared" si="19"/>
        <v>-32.681397455691304</v>
      </c>
      <c r="H44" s="32">
        <f t="shared" si="19"/>
        <v>-35.99056514380423</v>
      </c>
      <c r="I44" s="32">
        <f t="shared" si="19"/>
        <v>-37.64684978847837</v>
      </c>
      <c r="J44" s="32">
        <f t="shared" si="19"/>
        <v>-37.306838730946936</v>
      </c>
      <c r="K44" s="32">
        <f t="shared" si="19"/>
        <v>-35.04578787200493</v>
      </c>
      <c r="L44" s="32">
        <f t="shared" si="19"/>
        <v>-31.303912653249313</v>
      </c>
      <c r="M44" s="32">
        <f t="shared" si="19"/>
        <v>-26.6311383886864</v>
      </c>
      <c r="N44" s="32">
        <f t="shared" si="19"/>
        <v>-21.510657453197812</v>
      </c>
      <c r="O44" s="32">
        <f t="shared" si="19"/>
        <v>-16.321149756376627</v>
      </c>
      <c r="P44" s="32">
        <f t="shared" si="19"/>
        <v>-11.35871419765732</v>
      </c>
      <c r="Q44" s="32">
        <f t="shared" si="19"/>
        <v>-6.864295551988148</v>
      </c>
      <c r="R44" s="32">
        <f t="shared" si="19"/>
        <v>-3.0408174105402295</v>
      </c>
      <c r="S44" s="32">
        <f t="shared" si="19"/>
        <v>-0.059155654979129564</v>
      </c>
      <c r="T44" s="32">
        <f t="shared" si="19"/>
        <v>1.9443233294414288</v>
      </c>
      <c r="U44" s="32">
        <f t="shared" si="19"/>
        <v>2.8750001321236027</v>
      </c>
      <c r="V44" s="32">
        <f t="shared" si="19"/>
        <v>2.687845974076134</v>
      </c>
      <c r="W44" s="32">
        <f t="shared" si="19"/>
        <v>1.3919767412282187</v>
      </c>
      <c r="X44" s="32">
        <f t="shared" si="19"/>
        <v>-0.9503119199578565</v>
      </c>
      <c r="Y44" s="32">
        <f t="shared" si="19"/>
        <v>-4.229555290717707</v>
      </c>
      <c r="Z44" s="32">
        <f t="shared" si="19"/>
        <v>-8.297232996961103</v>
      </c>
    </row>
    <row r="45" spans="1:26" ht="12.75">
      <c r="A45" s="33" t="s">
        <v>60</v>
      </c>
      <c r="B45" s="32">
        <f>-($D$16*B33-B34)/SQRT($D$16^2+1)</f>
        <v>0.9396926207859085</v>
      </c>
      <c r="C45" s="32">
        <f aca="true" t="shared" si="20" ref="C45:Z45">-($D$16*C33-C34)/SQRT($D$16^2+1)</f>
        <v>0.9961946980917457</v>
      </c>
      <c r="D45" s="32">
        <f t="shared" si="20"/>
        <v>1.0349207640953957</v>
      </c>
      <c r="E45" s="32">
        <f t="shared" si="20"/>
        <v>0.9867712536320281</v>
      </c>
      <c r="F45" s="32">
        <f t="shared" si="20"/>
        <v>0.8490118437881959</v>
      </c>
      <c r="G45" s="32">
        <f t="shared" si="20"/>
        <v>0.6365952176382513</v>
      </c>
      <c r="H45" s="32">
        <f t="shared" si="20"/>
        <v>0.3737661092499121</v>
      </c>
      <c r="I45" s="32">
        <f t="shared" si="20"/>
        <v>0.09201939288839342</v>
      </c>
      <c r="J45" s="32">
        <f t="shared" si="20"/>
        <v>-0.17378942742556777</v>
      </c>
      <c r="K45" s="32">
        <f t="shared" si="20"/>
        <v>-0.3958146581625128</v>
      </c>
      <c r="L45" s="32">
        <f t="shared" si="20"/>
        <v>-0.562132913622969</v>
      </c>
      <c r="M45" s="32">
        <f t="shared" si="20"/>
        <v>-0.6716709325743386</v>
      </c>
      <c r="N45" s="32">
        <f t="shared" si="20"/>
        <v>-0.7251512546781936</v>
      </c>
      <c r="O45" s="32">
        <f t="shared" si="20"/>
        <v>-0.72473140265648</v>
      </c>
      <c r="P45" s="32">
        <f t="shared" si="20"/>
        <v>-0.6763389529358388</v>
      </c>
      <c r="Q45" s="32">
        <f t="shared" si="20"/>
        <v>-0.5895754773128643</v>
      </c>
      <c r="R45" s="32">
        <f t="shared" si="20"/>
        <v>-0.47572842909198365</v>
      </c>
      <c r="S45" s="32">
        <f t="shared" si="20"/>
        <v>-0.3450781712662194</v>
      </c>
      <c r="T45" s="32">
        <f t="shared" si="20"/>
        <v>-0.2041538201316777</v>
      </c>
      <c r="U45" s="32">
        <f t="shared" si="20"/>
        <v>-0.05338635919665054</v>
      </c>
      <c r="V45" s="32">
        <f t="shared" si="20"/>
        <v>0.11357733543793617</v>
      </c>
      <c r="W45" s="32">
        <f t="shared" si="20"/>
        <v>0.3057404052899351</v>
      </c>
      <c r="X45" s="32">
        <f t="shared" si="20"/>
        <v>0.5238583941855773</v>
      </c>
      <c r="Y45" s="32">
        <f t="shared" si="20"/>
        <v>0.7498563673076595</v>
      </c>
      <c r="Z45" s="32">
        <f t="shared" si="20"/>
        <v>0.9487097613475564</v>
      </c>
    </row>
    <row r="46" spans="1:27" s="41" customFormat="1" ht="12.75">
      <c r="A46" s="46" t="s">
        <v>65</v>
      </c>
      <c r="B46" s="42">
        <f>C46</f>
        <v>0.9735103000834398</v>
      </c>
      <c r="C46" s="42">
        <f>(C40-B40)*B26/$B$10</f>
        <v>0.9735103000834398</v>
      </c>
      <c r="D46" s="42">
        <f aca="true" t="shared" si="21" ref="D46:Z46">(D40-C40)*C26/$B$10</f>
        <v>0.9961975946814479</v>
      </c>
      <c r="E46" s="42">
        <f t="shared" si="21"/>
        <v>0.9993881160217727</v>
      </c>
      <c r="F46" s="42">
        <f t="shared" si="21"/>
        <v>0.9156489618104748</v>
      </c>
      <c r="G46" s="42">
        <f t="shared" si="21"/>
        <v>0.7466243780099636</v>
      </c>
      <c r="H46" s="42">
        <f t="shared" si="21"/>
        <v>0.5110186000776501</v>
      </c>
      <c r="I46" s="42">
        <f t="shared" si="21"/>
        <v>0.23585442215034297</v>
      </c>
      <c r="J46" s="42">
        <f t="shared" si="21"/>
        <v>-0.04592212270030251</v>
      </c>
      <c r="K46" s="42">
        <f t="shared" si="21"/>
        <v>-0.3000916864863253</v>
      </c>
      <c r="L46" s="42">
        <f t="shared" si="21"/>
        <v>-0.5017867342667267</v>
      </c>
      <c r="M46" s="42">
        <f t="shared" si="21"/>
        <v>-0.6429266673989942</v>
      </c>
      <c r="N46" s="42">
        <f t="shared" si="21"/>
        <v>-0.7252370727906281</v>
      </c>
      <c r="O46" s="42">
        <f t="shared" si="21"/>
        <v>-0.7512480144382094</v>
      </c>
      <c r="P46" s="42">
        <f t="shared" si="21"/>
        <v>-0.7247335099247906</v>
      </c>
      <c r="Q46" s="42">
        <f t="shared" si="21"/>
        <v>-0.6531177413929836</v>
      </c>
      <c r="R46" s="42">
        <f t="shared" si="21"/>
        <v>-0.5470813744557561</v>
      </c>
      <c r="S46" s="42">
        <f t="shared" si="21"/>
        <v>-0.41835746470583807</v>
      </c>
      <c r="T46" s="42">
        <f t="shared" si="21"/>
        <v>-0.2770070511243237</v>
      </c>
      <c r="U46" s="42">
        <f t="shared" si="21"/>
        <v>-0.12882543410255326</v>
      </c>
      <c r="V46" s="42">
        <f t="shared" si="21"/>
        <v>0.026642372445605387</v>
      </c>
      <c r="W46" s="42">
        <f t="shared" si="21"/>
        <v>0.196120182010444</v>
      </c>
      <c r="X46" s="42">
        <f t="shared" si="21"/>
        <v>0.3875967611104323</v>
      </c>
      <c r="Y46" s="42">
        <f t="shared" si="21"/>
        <v>0.5991510608977085</v>
      </c>
      <c r="Z46" s="42">
        <f t="shared" si="21"/>
        <v>0.8096578405667878</v>
      </c>
      <c r="AA46" s="46"/>
    </row>
    <row r="47" spans="1:26" ht="12.75">
      <c r="A47" s="33" t="s">
        <v>59</v>
      </c>
      <c r="B47" s="32">
        <f aca="true" t="shared" si="22" ref="B47:Z47">-(B45/$D$6/COS(B42))</f>
        <v>-0.29360064056926705</v>
      </c>
      <c r="C47" s="32">
        <f t="shared" si="22"/>
        <v>-0.32731066556811345</v>
      </c>
      <c r="D47" s="32">
        <f t="shared" si="22"/>
        <v>-0.36305972627040184</v>
      </c>
      <c r="E47" s="32">
        <f t="shared" si="22"/>
        <v>-0.37531350413974224</v>
      </c>
      <c r="F47" s="32">
        <f t="shared" si="22"/>
        <v>-0.3544731940105247</v>
      </c>
      <c r="G47" s="32">
        <f t="shared" si="22"/>
        <v>-0.29286943087188766</v>
      </c>
      <c r="H47" s="32">
        <f t="shared" si="22"/>
        <v>-0.1869454878269069</v>
      </c>
      <c r="I47" s="32">
        <f t="shared" si="22"/>
        <v>-0.04818921533362669</v>
      </c>
      <c r="J47" s="32">
        <f t="shared" si="22"/>
        <v>0.09013468369800237</v>
      </c>
      <c r="K47" s="32">
        <f t="shared" si="22"/>
        <v>0.19309861029917905</v>
      </c>
      <c r="L47" s="32">
        <f t="shared" si="22"/>
        <v>0.2504930380276663</v>
      </c>
      <c r="M47" s="32">
        <f t="shared" si="22"/>
        <v>0.2715778924587351</v>
      </c>
      <c r="N47" s="32">
        <f t="shared" si="22"/>
        <v>0.26804375367050304</v>
      </c>
      <c r="O47" s="32">
        <f t="shared" si="22"/>
        <v>0.248317588291215</v>
      </c>
      <c r="P47" s="32">
        <f t="shared" si="22"/>
        <v>0.2181668408143526</v>
      </c>
      <c r="Q47" s="32">
        <f t="shared" si="22"/>
        <v>0.18171595187252962</v>
      </c>
      <c r="R47" s="32">
        <f t="shared" si="22"/>
        <v>0.14193867935627882</v>
      </c>
      <c r="S47" s="32">
        <f t="shared" si="22"/>
        <v>0.10075626805543057</v>
      </c>
      <c r="T47" s="32">
        <f t="shared" si="22"/>
        <v>0.05885277216613453</v>
      </c>
      <c r="U47" s="32">
        <f t="shared" si="22"/>
        <v>0.015306183419305085</v>
      </c>
      <c r="V47" s="32">
        <f t="shared" si="22"/>
        <v>-0.03259831922553796</v>
      </c>
      <c r="W47" s="32">
        <f t="shared" si="22"/>
        <v>-0.08843639751117956</v>
      </c>
      <c r="X47" s="32">
        <f t="shared" si="22"/>
        <v>-0.15389694703172532</v>
      </c>
      <c r="Y47" s="32">
        <f t="shared" si="22"/>
        <v>-0.2258665569067882</v>
      </c>
      <c r="Z47" s="32">
        <f t="shared" si="22"/>
        <v>-0.29641798550360177</v>
      </c>
    </row>
    <row r="48" spans="1:26" ht="12.75">
      <c r="A48" s="41" t="s">
        <v>66</v>
      </c>
      <c r="B48" s="42">
        <f>C48</f>
        <v>-0.31164184941312956</v>
      </c>
      <c r="C48" s="42">
        <f>(C43-B43)*B26/$B$10</f>
        <v>-0.31164184941312956</v>
      </c>
      <c r="D48" s="42">
        <f aca="true" t="shared" si="23" ref="D48:Z48">(D43-C43)*C26/$B$10</f>
        <v>-0.33781018730748885</v>
      </c>
      <c r="E48" s="42">
        <f t="shared" si="23"/>
        <v>-0.36450652531807926</v>
      </c>
      <c r="F48" s="42">
        <f t="shared" si="23"/>
        <v>-0.3642530410368773</v>
      </c>
      <c r="G48" s="42">
        <f t="shared" si="23"/>
        <v>-0.3266749357578982</v>
      </c>
      <c r="H48" s="42">
        <f t="shared" si="23"/>
        <v>-0.24484970570704265</v>
      </c>
      <c r="I48" s="42">
        <f t="shared" si="23"/>
        <v>-0.12066795470596157</v>
      </c>
      <c r="J48" s="42">
        <f t="shared" si="23"/>
        <v>0.023932338518774895</v>
      </c>
      <c r="K48" s="42">
        <f t="shared" si="23"/>
        <v>0.15085933694020395</v>
      </c>
      <c r="L48" s="42">
        <f t="shared" si="23"/>
        <v>0.23363701866520614</v>
      </c>
      <c r="M48" s="42">
        <f t="shared" si="23"/>
        <v>0.2724300813578863</v>
      </c>
      <c r="N48" s="42">
        <f t="shared" si="23"/>
        <v>0.2799055624367405</v>
      </c>
      <c r="O48" s="42">
        <f t="shared" si="23"/>
        <v>0.26697936000708433</v>
      </c>
      <c r="P48" s="42">
        <f t="shared" si="23"/>
        <v>0.2406780448274593</v>
      </c>
      <c r="Q48" s="42">
        <f t="shared" si="23"/>
        <v>0.20577623003539433</v>
      </c>
      <c r="R48" s="42">
        <f t="shared" si="23"/>
        <v>0.1658177631986812</v>
      </c>
      <c r="S48" s="42">
        <f t="shared" si="23"/>
        <v>0.12344464482864831</v>
      </c>
      <c r="T48" s="42">
        <f t="shared" si="23"/>
        <v>0.0803562606246976</v>
      </c>
      <c r="U48" s="42">
        <f t="shared" si="23"/>
        <v>0.03703509443001505</v>
      </c>
      <c r="V48" s="42">
        <f t="shared" si="23"/>
        <v>-0.0076426244113347135</v>
      </c>
      <c r="W48" s="42">
        <f t="shared" si="23"/>
        <v>-0.05650558369239863</v>
      </c>
      <c r="X48" s="42">
        <f t="shared" si="23"/>
        <v>-0.11296755636752215</v>
      </c>
      <c r="Y48" s="42">
        <f t="shared" si="23"/>
        <v>-0.17816762908541262</v>
      </c>
      <c r="Z48" s="42">
        <f t="shared" si="23"/>
        <v>-0.2482383296603191</v>
      </c>
    </row>
    <row r="49" spans="1:26" ht="14.25" customHeight="1">
      <c r="A49" s="33" t="s">
        <v>61</v>
      </c>
      <c r="B49" s="32">
        <f>-($D$16*B35-B36)/SQRT($D$16^2+1)</f>
        <v>0.3420201433256687</v>
      </c>
      <c r="C49" s="32">
        <f aca="true" t="shared" si="24" ref="C49:Z49">-($D$16*C35-C36)/SQRT($D$16^2+1)</f>
        <v>0.2807866315177995</v>
      </c>
      <c r="D49" s="32">
        <f t="shared" si="24"/>
        <v>-0.0492192029455802</v>
      </c>
      <c r="E49" s="32">
        <f t="shared" si="24"/>
        <v>-0.42996023843644154</v>
      </c>
      <c r="F49" s="32">
        <f t="shared" si="24"/>
        <v>-0.7845819554377041</v>
      </c>
      <c r="G49" s="32">
        <f t="shared" si="24"/>
        <v>-1.0504434432026166</v>
      </c>
      <c r="H49" s="32">
        <f t="shared" si="24"/>
        <v>-1.1759010328873907</v>
      </c>
      <c r="I49" s="32">
        <f t="shared" si="24"/>
        <v>-1.13048671225881</v>
      </c>
      <c r="J49" s="32">
        <f t="shared" si="24"/>
        <v>-0.9414258740264767</v>
      </c>
      <c r="K49" s="32">
        <f t="shared" si="24"/>
        <v>-0.6947386199314566</v>
      </c>
      <c r="L49" s="32">
        <f t="shared" si="24"/>
        <v>-0.46038996733994086</v>
      </c>
      <c r="M49" s="32">
        <f t="shared" si="24"/>
        <v>-0.25355456806713517</v>
      </c>
      <c r="N49" s="32">
        <f t="shared" si="24"/>
        <v>-0.07361767307430334</v>
      </c>
      <c r="O49" s="32">
        <f t="shared" si="24"/>
        <v>0.07346449511560622</v>
      </c>
      <c r="P49" s="32">
        <f t="shared" si="24"/>
        <v>0.1810995989679327</v>
      </c>
      <c r="Q49" s="32">
        <f t="shared" si="24"/>
        <v>0.24899307115401625</v>
      </c>
      <c r="R49" s="32">
        <f t="shared" si="24"/>
        <v>0.2848167257868505</v>
      </c>
      <c r="S49" s="32">
        <f t="shared" si="24"/>
        <v>0.3029161120398192</v>
      </c>
      <c r="T49" s="32">
        <f t="shared" si="24"/>
        <v>0.3225213663457583</v>
      </c>
      <c r="U49" s="32">
        <f t="shared" si="24"/>
        <v>0.365525316086009</v>
      </c>
      <c r="V49" s="32">
        <f t="shared" si="24"/>
        <v>0.44949022459752186</v>
      </c>
      <c r="W49" s="32">
        <f t="shared" si="24"/>
        <v>0.5709822275850509</v>
      </c>
      <c r="X49" s="32">
        <f t="shared" si="24"/>
        <v>0.6871821376296541</v>
      </c>
      <c r="Y49" s="32">
        <f t="shared" si="24"/>
        <v>0.7208246521030284</v>
      </c>
      <c r="Z49" s="32">
        <f t="shared" si="24"/>
        <v>0.6019242682200763</v>
      </c>
    </row>
    <row r="50" spans="1:26" s="42" customFormat="1" ht="14.25" customHeight="1">
      <c r="A50" s="42" t="s">
        <v>67</v>
      </c>
      <c r="B50" s="42">
        <f>C50</f>
        <v>0.21582203755642507</v>
      </c>
      <c r="C50" s="42">
        <f>(C45-B45)*B26/$B$10</f>
        <v>0.21582203755642507</v>
      </c>
      <c r="D50" s="42">
        <f aca="true" t="shared" si="25" ref="D50:Z50">(D45-C45)*C26/$B$10</f>
        <v>0.1479226759436137</v>
      </c>
      <c r="E50" s="42">
        <f t="shared" si="25"/>
        <v>-0.1932764280832138</v>
      </c>
      <c r="F50" s="42">
        <f t="shared" si="25"/>
        <v>-0.5729192631944297</v>
      </c>
      <c r="G50" s="42">
        <f t="shared" si="25"/>
        <v>-0.8992483758739179</v>
      </c>
      <c r="H50" s="42">
        <f t="shared" si="25"/>
        <v>-1.1142352801979654</v>
      </c>
      <c r="I50" s="42">
        <f t="shared" si="25"/>
        <v>-1.1760843520940403</v>
      </c>
      <c r="J50" s="42">
        <f t="shared" si="25"/>
        <v>-1.0719736659849164</v>
      </c>
      <c r="K50" s="42">
        <f t="shared" si="25"/>
        <v>-0.8487637555806123</v>
      </c>
      <c r="L50" s="42">
        <f t="shared" si="25"/>
        <v>-0.5949971811981511</v>
      </c>
      <c r="M50" s="42">
        <f t="shared" si="25"/>
        <v>-0.3659045192004649</v>
      </c>
      <c r="N50" s="42">
        <f t="shared" si="25"/>
        <v>-0.16750100698083362</v>
      </c>
      <c r="O50" s="42">
        <f t="shared" si="25"/>
        <v>0.0012375718105586495</v>
      </c>
      <c r="P50" s="42">
        <f t="shared" si="25"/>
        <v>0.13447508720017476</v>
      </c>
      <c r="Q50" s="42">
        <f t="shared" si="25"/>
        <v>0.22760471582397876</v>
      </c>
      <c r="R50" s="42">
        <f t="shared" si="25"/>
        <v>0.28288951300219795</v>
      </c>
      <c r="S50" s="42">
        <f t="shared" si="25"/>
        <v>0.3099179874352673</v>
      </c>
      <c r="T50" s="42">
        <f t="shared" si="25"/>
        <v>0.3238497780072151</v>
      </c>
      <c r="U50" s="42">
        <f t="shared" si="25"/>
        <v>0.34375167302898474</v>
      </c>
      <c r="V50" s="42">
        <f t="shared" si="25"/>
        <v>0.3906498983070264</v>
      </c>
      <c r="W50" s="42">
        <f t="shared" si="25"/>
        <v>0.4800900964313031</v>
      </c>
      <c r="X50" s="42">
        <f t="shared" si="25"/>
        <v>0.6027364218943334</v>
      </c>
      <c r="Y50" s="42">
        <f t="shared" si="25"/>
        <v>0.7035295248840713</v>
      </c>
      <c r="Z50" s="42">
        <f t="shared" si="25"/>
        <v>0.6953091514125881</v>
      </c>
    </row>
    <row r="51" spans="1:26" ht="12.75">
      <c r="A51" s="33" t="s">
        <v>62</v>
      </c>
      <c r="B51" s="32">
        <f>-(B49/$D$6/COS(B42)+B45/$D$6/COS(B42)*B41*B45/$D$6/(COS(B42))^2)</f>
        <v>-0.15523035391741266</v>
      </c>
      <c r="C51" s="32">
        <f aca="true" t="shared" si="26" ref="C51:Z51">-(C49/$D$6/COS(C42)+C45/$D$6/COS(C42)*C41*C45/$D$6/(COS(C42))^2)</f>
        <v>-0.16444062149324778</v>
      </c>
      <c r="D51" s="32">
        <f t="shared" si="26"/>
        <v>-0.08962168972228154</v>
      </c>
      <c r="E51" s="32">
        <f t="shared" si="26"/>
        <v>0.026352268306784804</v>
      </c>
      <c r="F51" s="32">
        <f t="shared" si="26"/>
        <v>0.18169532999653465</v>
      </c>
      <c r="G51" s="32">
        <f t="shared" si="26"/>
        <v>0.36657708626571567</v>
      </c>
      <c r="H51" s="32">
        <f t="shared" si="26"/>
        <v>0.534350184493289</v>
      </c>
      <c r="I51" s="32">
        <f t="shared" si="26"/>
        <v>0.588208040459359</v>
      </c>
      <c r="J51" s="32">
        <f t="shared" si="26"/>
        <v>0.4751062012895854</v>
      </c>
      <c r="K51" s="32">
        <f t="shared" si="26"/>
        <v>0.28355322331133354</v>
      </c>
      <c r="L51" s="32">
        <f t="shared" si="26"/>
        <v>0.12395890202165015</v>
      </c>
      <c r="M51" s="32">
        <f t="shared" si="26"/>
        <v>0.021660416395728438</v>
      </c>
      <c r="N51" s="32">
        <f t="shared" si="26"/>
        <v>-0.03864873222817995</v>
      </c>
      <c r="O51" s="32">
        <f t="shared" si="26"/>
        <v>-0.07218098132641387</v>
      </c>
      <c r="P51" s="32">
        <f t="shared" si="26"/>
        <v>-0.08857508834137866</v>
      </c>
      <c r="Q51" s="32">
        <f t="shared" si="26"/>
        <v>-0.09420059343192957</v>
      </c>
      <c r="R51" s="32">
        <f t="shared" si="26"/>
        <v>-0.09396516711382362</v>
      </c>
      <c r="S51" s="32">
        <f t="shared" si="26"/>
        <v>-0.09235469932087846</v>
      </c>
      <c r="T51" s="32">
        <f t="shared" si="26"/>
        <v>-0.0941717636950549</v>
      </c>
      <c r="U51" s="32">
        <f t="shared" si="26"/>
        <v>-0.10487494706400703</v>
      </c>
      <c r="V51" s="32">
        <f t="shared" si="26"/>
        <v>-0.12936180948850828</v>
      </c>
      <c r="W51" s="32">
        <f t="shared" si="26"/>
        <v>-0.16794461504810484</v>
      </c>
      <c r="X51" s="32">
        <f t="shared" si="26"/>
        <v>-0.21142270162135887</v>
      </c>
      <c r="Y51" s="32">
        <f t="shared" si="26"/>
        <v>-0.24116014177466139</v>
      </c>
      <c r="Z51" s="32">
        <f t="shared" si="26"/>
        <v>-0.23736837589719545</v>
      </c>
    </row>
    <row r="52" spans="1:26" s="42" customFormat="1" ht="12.75">
      <c r="A52" s="42" t="s">
        <v>68</v>
      </c>
      <c r="B52" s="42">
        <f>C52</f>
        <v>-0.12876281064762643</v>
      </c>
      <c r="C52" s="42">
        <f>(C47-B47)*B26/$B$10</f>
        <v>-0.12876281064762643</v>
      </c>
      <c r="D52" s="42">
        <f aca="true" t="shared" si="27" ref="D52:Z52">(D47-C47)*C26/$B$10</f>
        <v>-0.1365513533198741</v>
      </c>
      <c r="E52" s="42">
        <f t="shared" si="27"/>
        <v>-0.049187756932920705</v>
      </c>
      <c r="F52" s="42">
        <f t="shared" si="27"/>
        <v>0.08667150314820621</v>
      </c>
      <c r="G52" s="42">
        <f t="shared" si="27"/>
        <v>0.2607944818360694</v>
      </c>
      <c r="H52" s="42">
        <f t="shared" si="27"/>
        <v>0.44905298002233673</v>
      </c>
      <c r="I52" s="42">
        <f t="shared" si="27"/>
        <v>0.5792049076619945</v>
      </c>
      <c r="J52" s="42">
        <f t="shared" si="27"/>
        <v>0.5578429525518446</v>
      </c>
      <c r="K52" s="42">
        <f t="shared" si="27"/>
        <v>0.3936131436110661</v>
      </c>
      <c r="L52" s="42">
        <f t="shared" si="27"/>
        <v>0.20532636432715778</v>
      </c>
      <c r="M52" s="42">
        <f t="shared" si="27"/>
        <v>0.07043256393414579</v>
      </c>
      <c r="N52" s="42">
        <f t="shared" si="27"/>
        <v>-0.011068964855696362</v>
      </c>
      <c r="O52" s="42">
        <f t="shared" si="27"/>
        <v>-0.05814559640366056</v>
      </c>
      <c r="P52" s="42">
        <f t="shared" si="27"/>
        <v>-0.08378423534058287</v>
      </c>
      <c r="Q52" s="42">
        <f t="shared" si="27"/>
        <v>-0.09562081462926304</v>
      </c>
      <c r="R52" s="42">
        <f t="shared" si="27"/>
        <v>-0.09883939396343583</v>
      </c>
      <c r="S52" s="42">
        <f t="shared" si="27"/>
        <v>-0.09768958929351153</v>
      </c>
      <c r="T52" s="42">
        <f t="shared" si="27"/>
        <v>-0.0962959043786475</v>
      </c>
      <c r="U52" s="42">
        <f t="shared" si="27"/>
        <v>-0.09928676017750752</v>
      </c>
      <c r="V52" s="42">
        <f t="shared" si="27"/>
        <v>-0.11208358276698081</v>
      </c>
      <c r="W52" s="42">
        <f t="shared" si="27"/>
        <v>-0.13950291494270417</v>
      </c>
      <c r="X52" s="42">
        <f t="shared" si="27"/>
        <v>-0.18089043271038</v>
      </c>
      <c r="Y52" s="42">
        <f t="shared" si="27"/>
        <v>-0.22404070594979889</v>
      </c>
      <c r="Z52" s="42">
        <f t="shared" si="27"/>
        <v>-0.2466895482747159</v>
      </c>
    </row>
    <row r="53" spans="1:26" ht="12.75">
      <c r="A53" s="14" t="s">
        <v>63</v>
      </c>
      <c r="B53" s="32">
        <v>0</v>
      </c>
      <c r="C53" s="32">
        <f>C43-$B$43</f>
        <v>-0.08158764538895202</v>
      </c>
      <c r="D53" s="32">
        <f aca="true" t="shared" si="28" ref="D53:Z53">D43-$B$43</f>
        <v>-0.1700261456183686</v>
      </c>
      <c r="E53" s="32">
        <f t="shared" si="28"/>
        <v>-0.2608329290881678</v>
      </c>
      <c r="F53" s="32">
        <f t="shared" si="28"/>
        <v>-0.34841819142910646</v>
      </c>
      <c r="G53" s="32">
        <f t="shared" si="28"/>
        <v>-0.4255839551526229</v>
      </c>
      <c r="H53" s="32">
        <f t="shared" si="28"/>
        <v>-0.4833398268108023</v>
      </c>
      <c r="I53" s="32">
        <f t="shared" si="28"/>
        <v>-0.5122474472105902</v>
      </c>
      <c r="J53" s="32">
        <f t="shared" si="28"/>
        <v>-0.5063131347634788</v>
      </c>
      <c r="K53" s="32">
        <f t="shared" si="28"/>
        <v>-0.4668503527198951</v>
      </c>
      <c r="L53" s="32">
        <f t="shared" si="28"/>
        <v>-0.4015423099538265</v>
      </c>
      <c r="M53" s="32">
        <f t="shared" si="28"/>
        <v>-0.31998701383474704</v>
      </c>
      <c r="N53" s="32">
        <f t="shared" si="28"/>
        <v>-0.23061776222487185</v>
      </c>
      <c r="O53" s="32">
        <f t="shared" si="28"/>
        <v>-0.1400437663577545</v>
      </c>
      <c r="P53" s="32">
        <f t="shared" si="28"/>
        <v>-0.05343292694005819</v>
      </c>
      <c r="Q53" s="32">
        <f t="shared" si="28"/>
        <v>0.02500947638989326</v>
      </c>
      <c r="R53" s="32">
        <f t="shared" si="28"/>
        <v>0.0917417588361929</v>
      </c>
      <c r="S53" s="32">
        <f t="shared" si="28"/>
        <v>0.14378157365152844</v>
      </c>
      <c r="T53" s="32">
        <f t="shared" si="28"/>
        <v>0.17874887842417936</v>
      </c>
      <c r="U53" s="32">
        <f t="shared" si="28"/>
        <v>0.19499225290291688</v>
      </c>
      <c r="V53" s="32">
        <f t="shared" si="28"/>
        <v>0.19172579663619072</v>
      </c>
      <c r="W53" s="32">
        <f t="shared" si="28"/>
        <v>0.16910861184770154</v>
      </c>
      <c r="X53" s="32">
        <f t="shared" si="28"/>
        <v>0.12822796267787462</v>
      </c>
      <c r="Y53" s="32">
        <f t="shared" si="28"/>
        <v>0.07099436888391808</v>
      </c>
      <c r="Z53" s="32">
        <f t="shared" si="28"/>
        <v>0</v>
      </c>
    </row>
    <row r="54" spans="1:256" ht="12.75">
      <c r="A54" s="33" t="s">
        <v>46</v>
      </c>
      <c r="B54" s="32">
        <f>B31+($F$6-$F$5)*COS(B53)-($G$6-$G$5)*SIN(B53)</f>
        <v>4.631432921986749</v>
      </c>
      <c r="C54" s="32">
        <f aca="true" t="shared" si="29" ref="C54:Z54">C31+($F$6-$F$5)*COS(C53)-($G$6-$G$5)*SIN(C53)</f>
        <v>4.537604858828092</v>
      </c>
      <c r="D54" s="32">
        <f t="shared" si="29"/>
        <v>4.346771686068345</v>
      </c>
      <c r="E54" s="32">
        <f t="shared" si="29"/>
        <v>4.066827921095048</v>
      </c>
      <c r="F54" s="32">
        <f t="shared" si="29"/>
        <v>3.7173716149467757</v>
      </c>
      <c r="G54" s="32">
        <f t="shared" si="29"/>
        <v>3.3309100311040947</v>
      </c>
      <c r="H54" s="32">
        <f t="shared" si="29"/>
        <v>2.951995142655963</v>
      </c>
      <c r="I54" s="32">
        <f t="shared" si="29"/>
        <v>2.6302336807527946</v>
      </c>
      <c r="J54" s="32">
        <f t="shared" si="29"/>
        <v>2.4040841287080514</v>
      </c>
      <c r="K54" s="32">
        <f t="shared" si="29"/>
        <v>2.2852650131128263</v>
      </c>
      <c r="L54" s="32">
        <f t="shared" si="29"/>
        <v>2.261113990536088</v>
      </c>
      <c r="M54" s="32">
        <f t="shared" si="29"/>
        <v>2.31035677148956</v>
      </c>
      <c r="N54" s="32">
        <f t="shared" si="29"/>
        <v>2.41453452891327</v>
      </c>
      <c r="O54" s="32">
        <f t="shared" si="29"/>
        <v>2.5608432614791785</v>
      </c>
      <c r="P54" s="32">
        <f t="shared" si="29"/>
        <v>2.7409496816786056</v>
      </c>
      <c r="Q54" s="32">
        <f t="shared" si="29"/>
        <v>2.949035119673687</v>
      </c>
      <c r="R54" s="32">
        <f t="shared" si="29"/>
        <v>3.180023009876076</v>
      </c>
      <c r="S54" s="32">
        <f t="shared" si="29"/>
        <v>3.4280761483352533</v>
      </c>
      <c r="T54" s="32">
        <f t="shared" si="29"/>
        <v>3.6853394716133305</v>
      </c>
      <c r="U54" s="32">
        <f t="shared" si="29"/>
        <v>3.941018063823072</v>
      </c>
      <c r="V54" s="32">
        <f t="shared" si="29"/>
        <v>4.181000506332024</v>
      </c>
      <c r="W54" s="32">
        <f t="shared" si="29"/>
        <v>4.388256788011468</v>
      </c>
      <c r="X54" s="32">
        <f t="shared" si="29"/>
        <v>4.544114914282097</v>
      </c>
      <c r="Y54" s="32">
        <f t="shared" si="29"/>
        <v>4.630300721872826</v>
      </c>
      <c r="Z54" s="32">
        <f t="shared" si="29"/>
        <v>4.631432921986749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2.75">
      <c r="A55" s="33" t="s">
        <v>47</v>
      </c>
      <c r="B55" s="32">
        <f aca="true" t="shared" si="30" ref="B55:Z55">B32+($F$6-$F$5)*SIN(B53)+($G$6-$G$5)*COS(B53)</f>
        <v>-0.5121594705703002</v>
      </c>
      <c r="C55" s="32">
        <f t="shared" si="30"/>
        <v>-0.5481766894939408</v>
      </c>
      <c r="D55" s="32">
        <f t="shared" si="30"/>
        <v>-0.6214306812081076</v>
      </c>
      <c r="E55" s="32">
        <f t="shared" si="30"/>
        <v>-0.7288910244137634</v>
      </c>
      <c r="F55" s="32">
        <f t="shared" si="30"/>
        <v>-0.8630347321604112</v>
      </c>
      <c r="G55" s="32">
        <f t="shared" si="30"/>
        <v>-1.0113834351204405</v>
      </c>
      <c r="H55" s="32">
        <f t="shared" si="30"/>
        <v>-1.1568352331351344</v>
      </c>
      <c r="I55" s="32">
        <f t="shared" si="30"/>
        <v>-1.280347886220179</v>
      </c>
      <c r="J55" s="32">
        <f t="shared" si="30"/>
        <v>-1.3671585657895258</v>
      </c>
      <c r="K55" s="32">
        <f t="shared" si="30"/>
        <v>-1.412768950941248</v>
      </c>
      <c r="L55" s="32">
        <f t="shared" si="30"/>
        <v>-1.4220396599177865</v>
      </c>
      <c r="M55" s="32">
        <f t="shared" si="30"/>
        <v>-1.4031371273246214</v>
      </c>
      <c r="N55" s="32">
        <f t="shared" si="30"/>
        <v>-1.363147032999016</v>
      </c>
      <c r="O55" s="32">
        <f t="shared" si="30"/>
        <v>-1.3069843725553483</v>
      </c>
      <c r="P55" s="32">
        <f t="shared" si="30"/>
        <v>-1.237847995361812</v>
      </c>
      <c r="Q55" s="32">
        <f t="shared" si="30"/>
        <v>-1.1579714795009082</v>
      </c>
      <c r="R55" s="32">
        <f t="shared" si="30"/>
        <v>-1.0693035359235017</v>
      </c>
      <c r="S55" s="32">
        <f t="shared" si="30"/>
        <v>-0.9740848572913633</v>
      </c>
      <c r="T55" s="32">
        <f t="shared" si="30"/>
        <v>-0.8753307199512201</v>
      </c>
      <c r="U55" s="32">
        <f t="shared" si="30"/>
        <v>-0.7771849038734138</v>
      </c>
      <c r="V55" s="32">
        <f t="shared" si="30"/>
        <v>-0.6850642751542728</v>
      </c>
      <c r="W55" s="32">
        <f t="shared" si="30"/>
        <v>-0.6055060425823645</v>
      </c>
      <c r="X55" s="32">
        <f t="shared" si="30"/>
        <v>-0.5456777133390618</v>
      </c>
      <c r="Y55" s="32">
        <f t="shared" si="30"/>
        <v>-0.5125940814744991</v>
      </c>
      <c r="Z55" s="32">
        <f t="shared" si="30"/>
        <v>-0.5121594705703004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s="46" customFormat="1" ht="12.75">
      <c r="A56" s="41" t="s">
        <v>52</v>
      </c>
      <c r="B56" s="42">
        <f aca="true" t="shared" si="31" ref="B56:Z56">(B54-B31)^2+(B55-B32)^2-$D$6^2</f>
        <v>0</v>
      </c>
      <c r="C56" s="42">
        <f t="shared" si="31"/>
        <v>0</v>
      </c>
      <c r="D56" s="42">
        <f t="shared" si="31"/>
        <v>0</v>
      </c>
      <c r="E56" s="42">
        <f t="shared" si="31"/>
        <v>0</v>
      </c>
      <c r="F56" s="42">
        <f t="shared" si="31"/>
        <v>0</v>
      </c>
      <c r="G56" s="42">
        <f t="shared" si="31"/>
        <v>0</v>
      </c>
      <c r="H56" s="42">
        <f t="shared" si="31"/>
        <v>0</v>
      </c>
      <c r="I56" s="42">
        <f t="shared" si="31"/>
        <v>0</v>
      </c>
      <c r="J56" s="42">
        <f t="shared" si="31"/>
        <v>0</v>
      </c>
      <c r="K56" s="42">
        <f t="shared" si="31"/>
        <v>0</v>
      </c>
      <c r="L56" s="42">
        <f t="shared" si="31"/>
        <v>0</v>
      </c>
      <c r="M56" s="42">
        <f t="shared" si="31"/>
        <v>0</v>
      </c>
      <c r="N56" s="42">
        <f t="shared" si="31"/>
        <v>0</v>
      </c>
      <c r="O56" s="42">
        <f t="shared" si="31"/>
        <v>0</v>
      </c>
      <c r="P56" s="42">
        <f t="shared" si="31"/>
        <v>0</v>
      </c>
      <c r="Q56" s="42">
        <f t="shared" si="31"/>
        <v>0</v>
      </c>
      <c r="R56" s="42">
        <f t="shared" si="31"/>
        <v>0</v>
      </c>
      <c r="S56" s="42">
        <f t="shared" si="31"/>
        <v>0</v>
      </c>
      <c r="T56" s="42">
        <f t="shared" si="31"/>
        <v>0</v>
      </c>
      <c r="U56" s="42">
        <f t="shared" si="31"/>
        <v>0</v>
      </c>
      <c r="V56" s="42">
        <f t="shared" si="31"/>
        <v>0</v>
      </c>
      <c r="W56" s="42">
        <f t="shared" si="31"/>
        <v>0</v>
      </c>
      <c r="X56" s="42">
        <f t="shared" si="31"/>
        <v>0</v>
      </c>
      <c r="Y56" s="42">
        <f t="shared" si="31"/>
        <v>0</v>
      </c>
      <c r="Z56" s="42">
        <f t="shared" si="31"/>
        <v>0</v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6" ht="12.75">
      <c r="A57" s="33" t="s">
        <v>48</v>
      </c>
      <c r="B57" s="32">
        <f>B33-B47*(B55-B32)</f>
        <v>-0.17294679277980196</v>
      </c>
      <c r="C57" s="32">
        <f aca="true" t="shared" si="32" ref="C57:Z57">C33-C47*(C55-C32)</f>
        <v>-0.5452804792920829</v>
      </c>
      <c r="D57" s="32">
        <f t="shared" si="32"/>
        <v>-0.9538523817079203</v>
      </c>
      <c r="E57" s="32">
        <f t="shared" si="32"/>
        <v>-1.3267445332629297</v>
      </c>
      <c r="F57" s="32">
        <f t="shared" si="32"/>
        <v>-1.5852984066403102</v>
      </c>
      <c r="G57" s="32">
        <f t="shared" si="32"/>
        <v>-1.6572752613890955</v>
      </c>
      <c r="H57" s="32">
        <f t="shared" si="32"/>
        <v>-1.495834695348047</v>
      </c>
      <c r="I57" s="32">
        <f t="shared" si="32"/>
        <v>-1.1229254725876814</v>
      </c>
      <c r="J57" s="32">
        <f t="shared" si="32"/>
        <v>-0.6573756335454242</v>
      </c>
      <c r="K57" s="32">
        <f t="shared" si="32"/>
        <v>-0.24365995365943716</v>
      </c>
      <c r="L57" s="32">
        <f t="shared" si="32"/>
        <v>0.053675030551475766</v>
      </c>
      <c r="M57" s="32">
        <f t="shared" si="32"/>
        <v>0.24839567363473936</v>
      </c>
      <c r="N57" s="32">
        <f t="shared" si="32"/>
        <v>0.3741728838496583</v>
      </c>
      <c r="O57" s="32">
        <f t="shared" si="32"/>
        <v>0.4566277137822194</v>
      </c>
      <c r="P57" s="32">
        <f t="shared" si="32"/>
        <v>0.5114071799631053</v>
      </c>
      <c r="Q57" s="32">
        <f t="shared" si="32"/>
        <v>0.5476545825287988</v>
      </c>
      <c r="R57" s="32">
        <f t="shared" si="32"/>
        <v>0.5707889355154462</v>
      </c>
      <c r="S57" s="32">
        <f t="shared" si="32"/>
        <v>0.5841363641237043</v>
      </c>
      <c r="T57" s="32">
        <f t="shared" si="32"/>
        <v>0.5894867567882898</v>
      </c>
      <c r="U57" s="32">
        <f t="shared" si="32"/>
        <v>0.5859935113922714</v>
      </c>
      <c r="V57" s="32">
        <f t="shared" si="32"/>
        <v>0.566254091526302</v>
      </c>
      <c r="W57" s="32">
        <f t="shared" si="32"/>
        <v>0.5104303456262187</v>
      </c>
      <c r="X57" s="32">
        <f t="shared" si="32"/>
        <v>0.38574223888447995</v>
      </c>
      <c r="Y57" s="32">
        <f t="shared" si="32"/>
        <v>0.16032086294079187</v>
      </c>
      <c r="Z57" s="32">
        <f t="shared" si="32"/>
        <v>-0.17460636262816062</v>
      </c>
    </row>
    <row r="58" spans="1:26" ht="12.75">
      <c r="A58" s="33" t="s">
        <v>49</v>
      </c>
      <c r="B58" s="32">
        <f>B34+B47*(B54-B31)</f>
        <v>-0.06638805372288892</v>
      </c>
      <c r="C58" s="32">
        <f aca="true" t="shared" si="33" ref="C58:Z58">C34+C47*(C54-C31)</f>
        <v>-0.20931356500710474</v>
      </c>
      <c r="D58" s="32">
        <f t="shared" si="33"/>
        <v>-0.3661496240705443</v>
      </c>
      <c r="E58" s="32">
        <f t="shared" si="33"/>
        <v>-0.509289509999488</v>
      </c>
      <c r="F58" s="32">
        <f t="shared" si="33"/>
        <v>-0.608539043108165</v>
      </c>
      <c r="G58" s="32">
        <f t="shared" si="33"/>
        <v>-0.6361683690011917</v>
      </c>
      <c r="H58" s="32">
        <f t="shared" si="33"/>
        <v>-0.5741971419022732</v>
      </c>
      <c r="I58" s="32">
        <f t="shared" si="33"/>
        <v>-0.43105070295155856</v>
      </c>
      <c r="J58" s="32">
        <f t="shared" si="33"/>
        <v>-0.2523428632267093</v>
      </c>
      <c r="K58" s="32">
        <f t="shared" si="33"/>
        <v>-0.09353229298825383</v>
      </c>
      <c r="L58" s="32">
        <f t="shared" si="33"/>
        <v>0.020603913808138752</v>
      </c>
      <c r="M58" s="32">
        <f t="shared" si="33"/>
        <v>0.09535016556677123</v>
      </c>
      <c r="N58" s="32">
        <f t="shared" si="33"/>
        <v>0.14363151299536803</v>
      </c>
      <c r="O58" s="32">
        <f t="shared" si="33"/>
        <v>0.1752829567214398</v>
      </c>
      <c r="P58" s="32">
        <f t="shared" si="33"/>
        <v>0.1963108236467207</v>
      </c>
      <c r="Q58" s="32">
        <f t="shared" si="33"/>
        <v>0.21022489785514098</v>
      </c>
      <c r="R58" s="32">
        <f t="shared" si="33"/>
        <v>0.219105343940529</v>
      </c>
      <c r="S58" s="32">
        <f t="shared" si="33"/>
        <v>0.2242289417434419</v>
      </c>
      <c r="T58" s="32">
        <f t="shared" si="33"/>
        <v>0.22628276506069372</v>
      </c>
      <c r="U58" s="32">
        <f t="shared" si="33"/>
        <v>0.2249418337876092</v>
      </c>
      <c r="V58" s="32">
        <f t="shared" si="33"/>
        <v>0.2173645804285999</v>
      </c>
      <c r="W58" s="32">
        <f t="shared" si="33"/>
        <v>0.19593585207660213</v>
      </c>
      <c r="X58" s="32">
        <f t="shared" si="33"/>
        <v>0.14807257230179172</v>
      </c>
      <c r="Y58" s="32">
        <f t="shared" si="33"/>
        <v>0.061541413348812135</v>
      </c>
      <c r="Z58" s="32">
        <f t="shared" si="33"/>
        <v>-0.06702510290130292</v>
      </c>
    </row>
    <row r="59" spans="1:26" ht="12.75">
      <c r="A59" s="33" t="s">
        <v>50</v>
      </c>
      <c r="B59" s="32">
        <f>B35-B51*(B55-B32)-B47*(B58-B34)</f>
        <v>-1.3951070331319524</v>
      </c>
      <c r="C59" s="32">
        <f aca="true" t="shared" si="34" ref="C59:Z59">C35-C51*(C55-C32)-C47*(C58-C34)</f>
        <v>-1.533447735497834</v>
      </c>
      <c r="D59" s="32">
        <f t="shared" si="34"/>
        <v>-1.5829997681985553</v>
      </c>
      <c r="E59" s="32">
        <f t="shared" si="34"/>
        <v>-1.3166972433233661</v>
      </c>
      <c r="F59" s="32">
        <f t="shared" si="34"/>
        <v>-0.6916517204797931</v>
      </c>
      <c r="G59" s="32">
        <f t="shared" si="34"/>
        <v>0.2335252479587488</v>
      </c>
      <c r="H59" s="32">
        <f t="shared" si="34"/>
        <v>1.226385022140112</v>
      </c>
      <c r="I59" s="32">
        <f t="shared" si="34"/>
        <v>1.8396972292558076</v>
      </c>
      <c r="J59" s="32">
        <f t="shared" si="34"/>
        <v>1.7710062484451938</v>
      </c>
      <c r="K59" s="32">
        <f t="shared" si="34"/>
        <v>1.2813104060634057</v>
      </c>
      <c r="L59" s="32">
        <f t="shared" si="34"/>
        <v>0.8031519558419974</v>
      </c>
      <c r="M59" s="32">
        <f t="shared" si="34"/>
        <v>0.48503821702255373</v>
      </c>
      <c r="N59" s="32">
        <f t="shared" si="34"/>
        <v>0.2956749800165642</v>
      </c>
      <c r="O59" s="32">
        <f t="shared" si="34"/>
        <v>0.18404107821951698</v>
      </c>
      <c r="P59" s="32">
        <f t="shared" si="34"/>
        <v>0.11712834816604686</v>
      </c>
      <c r="Q59" s="32">
        <f t="shared" si="34"/>
        <v>0.07665328105356303</v>
      </c>
      <c r="R59" s="32">
        <f t="shared" si="34"/>
        <v>0.052698446715830155</v>
      </c>
      <c r="S59" s="32">
        <f t="shared" si="34"/>
        <v>0.039094382727936944</v>
      </c>
      <c r="T59" s="32">
        <f t="shared" si="34"/>
        <v>0.028725421228278866</v>
      </c>
      <c r="U59" s="32">
        <f t="shared" si="34"/>
        <v>0.0060379376665522805</v>
      </c>
      <c r="V59" s="32">
        <f t="shared" si="34"/>
        <v>-0.06282685741163661</v>
      </c>
      <c r="W59" s="32">
        <f t="shared" si="34"/>
        <v>-0.23134332780816094</v>
      </c>
      <c r="X59" s="32">
        <f t="shared" si="34"/>
        <v>-0.546151113729487</v>
      </c>
      <c r="Y59" s="32">
        <f t="shared" si="34"/>
        <v>-0.9941345390104204</v>
      </c>
      <c r="Z59" s="32">
        <f t="shared" si="34"/>
        <v>-1.4686304288966476</v>
      </c>
    </row>
    <row r="60" spans="1:26" s="32" customFormat="1" ht="12.75">
      <c r="A60" s="33" t="s">
        <v>51</v>
      </c>
      <c r="B60" s="32">
        <f>B36+B51*(B54-B31)+B47*(B57-B33)</f>
        <v>-0.5355314150443189</v>
      </c>
      <c r="C60" s="32">
        <f aca="true" t="shared" si="35" ref="C60:Z60">C36+C51*(C54-C31)+C47*(C57-C33)</f>
        <v>-0.5886354352641197</v>
      </c>
      <c r="D60" s="32">
        <f t="shared" si="35"/>
        <v>-0.6076566784808253</v>
      </c>
      <c r="E60" s="32">
        <f t="shared" si="35"/>
        <v>-0.505432716742116</v>
      </c>
      <c r="F60" s="32">
        <f t="shared" si="35"/>
        <v>-0.2655002202625607</v>
      </c>
      <c r="G60" s="32">
        <f t="shared" si="35"/>
        <v>0.08964194396409172</v>
      </c>
      <c r="H60" s="32">
        <f t="shared" si="35"/>
        <v>0.4707651031057014</v>
      </c>
      <c r="I60" s="32">
        <f t="shared" si="35"/>
        <v>0.7061936016656092</v>
      </c>
      <c r="J60" s="32">
        <f t="shared" si="35"/>
        <v>0.6798256046011066</v>
      </c>
      <c r="K60" s="32">
        <f t="shared" si="35"/>
        <v>0.49184898260436605</v>
      </c>
      <c r="L60" s="32">
        <f t="shared" si="35"/>
        <v>0.30830115051609525</v>
      </c>
      <c r="M60" s="32">
        <f t="shared" si="35"/>
        <v>0.1861887271326611</v>
      </c>
      <c r="N60" s="32">
        <f t="shared" si="35"/>
        <v>0.1134989908881742</v>
      </c>
      <c r="O60" s="32">
        <f t="shared" si="35"/>
        <v>0.07064675089761235</v>
      </c>
      <c r="P60" s="32">
        <f t="shared" si="35"/>
        <v>0.04496136034405173</v>
      </c>
      <c r="Q60" s="32">
        <f t="shared" si="35"/>
        <v>0.02942443776392445</v>
      </c>
      <c r="R60" s="32">
        <f t="shared" si="35"/>
        <v>0.02022903839643741</v>
      </c>
      <c r="S60" s="32">
        <f t="shared" si="35"/>
        <v>0.015006927501164778</v>
      </c>
      <c r="T60" s="32">
        <f t="shared" si="35"/>
        <v>0.011026656100779035</v>
      </c>
      <c r="U60" s="32">
        <f t="shared" si="35"/>
        <v>0.0023177471159750765</v>
      </c>
      <c r="V60" s="32">
        <f t="shared" si="35"/>
        <v>-0.02411697099462577</v>
      </c>
      <c r="W60" s="32">
        <f t="shared" si="35"/>
        <v>-0.08880438329096162</v>
      </c>
      <c r="X60" s="32">
        <f t="shared" si="35"/>
        <v>-0.20964777025528697</v>
      </c>
      <c r="Y60" s="32">
        <f t="shared" si="35"/>
        <v>-0.3816124955126131</v>
      </c>
      <c r="Z60" s="32">
        <f t="shared" si="35"/>
        <v>-0.5637544024120604</v>
      </c>
    </row>
    <row r="61" spans="1:26" ht="12.75">
      <c r="A61" s="3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3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56" ht="12.75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6" ht="13.5" thickBo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3.5" thickBot="1">
      <c r="A65" s="33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ht="13.5" thickBot="1">
      <c r="A66" s="38" t="s">
        <v>69</v>
      </c>
    </row>
    <row r="67" ht="13.5" thickBot="1">
      <c r="A67" s="48" t="s">
        <v>93</v>
      </c>
    </row>
    <row r="68" spans="1:26" ht="12.75">
      <c r="A68" s="23" t="s">
        <v>101</v>
      </c>
      <c r="B68" s="27">
        <f>(B55-B32)/(B54-B31)</f>
        <v>-0.14583490237122373</v>
      </c>
      <c r="C68" s="27">
        <f aca="true" t="shared" si="36" ref="C68:Z68">(C55-C32)/(C54-C31)</f>
        <v>-0.2303509500596352</v>
      </c>
      <c r="D68" s="27">
        <f t="shared" si="36"/>
        <v>-0.3256726638939302</v>
      </c>
      <c r="E68" s="27">
        <f t="shared" si="36"/>
        <v>-0.4294656015974204</v>
      </c>
      <c r="F68" s="27">
        <f t="shared" si="36"/>
        <v>-0.5375471351047778</v>
      </c>
      <c r="G68" s="27">
        <f t="shared" si="36"/>
        <v>-0.6415301951533174</v>
      </c>
      <c r="H68" s="27">
        <f t="shared" si="36"/>
        <v>-0.7262909657892735</v>
      </c>
      <c r="I68" s="27">
        <f t="shared" si="36"/>
        <v>-0.7714071113095863</v>
      </c>
      <c r="J68" s="27">
        <f t="shared" si="36"/>
        <v>-0.761984497851682</v>
      </c>
      <c r="K68" s="27">
        <f t="shared" si="36"/>
        <v>-0.701399169689601</v>
      </c>
      <c r="L68" s="27">
        <f t="shared" si="36"/>
        <v>-0.6081030674185339</v>
      </c>
      <c r="M68" s="27">
        <f t="shared" si="36"/>
        <v>-0.5014426319290854</v>
      </c>
      <c r="N68" s="27">
        <f t="shared" si="36"/>
        <v>-0.39412536097314127</v>
      </c>
      <c r="O68" s="27">
        <f t="shared" si="36"/>
        <v>-0.2928212047078122</v>
      </c>
      <c r="P68" s="27">
        <f t="shared" si="36"/>
        <v>-0.20088560877570624</v>
      </c>
      <c r="Q68" s="27">
        <f t="shared" si="36"/>
        <v>-0.12038105849191069</v>
      </c>
      <c r="R68" s="27">
        <f t="shared" si="36"/>
        <v>-0.05312216093688374</v>
      </c>
      <c r="S68" s="27">
        <f>(S55-S32)/(S54-S31)</f>
        <v>-0.0010324613174191382</v>
      </c>
      <c r="T68" s="27">
        <f>(T55-T32)/(T54-T31)</f>
        <v>0.0339478759821616</v>
      </c>
      <c r="U68" s="27">
        <f>(U55-U32)/(U54-U31)</f>
        <v>0.050220374561048206</v>
      </c>
      <c r="V68" s="27">
        <f t="shared" si="36"/>
        <v>0.04694620546918246</v>
      </c>
      <c r="W68" s="27">
        <f t="shared" si="36"/>
        <v>0.02429935814197367</v>
      </c>
      <c r="X68" s="27">
        <f t="shared" si="36"/>
        <v>-0.016587593022126</v>
      </c>
      <c r="Y68" s="27">
        <f t="shared" si="36"/>
        <v>-0.07395404820497889</v>
      </c>
      <c r="Z68" s="27">
        <f t="shared" si="36"/>
        <v>-0.14583490237122373</v>
      </c>
    </row>
    <row r="69" spans="1:27" ht="12.75">
      <c r="A69" s="14" t="s">
        <v>100</v>
      </c>
      <c r="B69" s="16">
        <f aca="true" t="shared" si="37" ref="B69:Z69">B32-B31*B68</f>
        <v>0.1632650974465089</v>
      </c>
      <c r="C69" s="16">
        <f t="shared" si="37"/>
        <v>0.4970649007323272</v>
      </c>
      <c r="D69" s="16">
        <f t="shared" si="37"/>
        <v>0.7941940331324806</v>
      </c>
      <c r="E69" s="16">
        <f t="shared" si="37"/>
        <v>1.0176716753125081</v>
      </c>
      <c r="F69" s="16">
        <f t="shared" si="37"/>
        <v>1.1352277295740496</v>
      </c>
      <c r="G69" s="16">
        <f t="shared" si="37"/>
        <v>1.1254959271719118</v>
      </c>
      <c r="H69" s="16">
        <f t="shared" si="37"/>
        <v>0.9871721700297097</v>
      </c>
      <c r="I69" s="16">
        <f t="shared" si="37"/>
        <v>0.748633079518515</v>
      </c>
      <c r="J69" s="16">
        <f t="shared" si="37"/>
        <v>0.46471627181727726</v>
      </c>
      <c r="K69" s="16">
        <f t="shared" si="37"/>
        <v>0.19011403177678354</v>
      </c>
      <c r="L69" s="16">
        <f t="shared" si="37"/>
        <v>-0.04704930648982941</v>
      </c>
      <c r="M69" s="16">
        <f t="shared" si="37"/>
        <v>-0.24462574713371163</v>
      </c>
      <c r="N69" s="16">
        <f t="shared" si="37"/>
        <v>-0.41151774020895987</v>
      </c>
      <c r="O69" s="16">
        <f t="shared" si="37"/>
        <v>-0.5571151636611325</v>
      </c>
      <c r="P69" s="16">
        <f t="shared" si="37"/>
        <v>-0.6872306499342271</v>
      </c>
      <c r="Q69" s="16">
        <f t="shared" si="37"/>
        <v>-0.8029635102647712</v>
      </c>
      <c r="R69" s="16">
        <f t="shared" si="37"/>
        <v>-0.9003738418098713</v>
      </c>
      <c r="S69" s="16">
        <f>S32-S31*S68</f>
        <v>-0.9705455012750399</v>
      </c>
      <c r="T69" s="16">
        <f>T32-T31*T68</f>
        <v>-1.0004401672857144</v>
      </c>
      <c r="U69" s="16">
        <f>U32-U31*U68</f>
        <v>-0.9751043071904654</v>
      </c>
      <c r="V69" s="16">
        <f t="shared" si="37"/>
        <v>-0.881346383991292</v>
      </c>
      <c r="W69" s="16">
        <f t="shared" si="37"/>
        <v>-0.7121378658932022</v>
      </c>
      <c r="X69" s="16">
        <f t="shared" si="37"/>
        <v>-0.4703017844951774</v>
      </c>
      <c r="Y69" s="16">
        <f t="shared" si="37"/>
        <v>-0.1701645986855676</v>
      </c>
      <c r="Z69" s="16">
        <f t="shared" si="37"/>
        <v>0.16326509744650866</v>
      </c>
      <c r="AA69" s="32"/>
    </row>
    <row r="70" spans="1:26" ht="12.75">
      <c r="A70" s="14" t="s">
        <v>71</v>
      </c>
      <c r="B70" s="16">
        <f>(B69-$B$16)/($F$16-B68)</f>
        <v>2.1828877173174135</v>
      </c>
      <c r="C70" s="16">
        <f aca="true" t="shared" si="38" ref="C70:Z70">(C69-$B$16)/($F$16-C68)</f>
        <v>2.334640946385182</v>
      </c>
      <c r="D70" s="16">
        <f t="shared" si="38"/>
        <v>2.4037526123916484</v>
      </c>
      <c r="E70" s="16">
        <f t="shared" si="38"/>
        <v>2.3817623581003082</v>
      </c>
      <c r="F70" s="16">
        <f t="shared" si="38"/>
        <v>2.273429660822555</v>
      </c>
      <c r="G70" s="16">
        <f t="shared" si="38"/>
        <v>2.0970030570697507</v>
      </c>
      <c r="H70" s="16">
        <f t="shared" si="38"/>
        <v>1.8834216692276862</v>
      </c>
      <c r="I70" s="16">
        <f t="shared" si="38"/>
        <v>1.6712773702105537</v>
      </c>
      <c r="J70" s="16">
        <f t="shared" si="38"/>
        <v>1.4943310250167947</v>
      </c>
      <c r="K70" s="16">
        <f t="shared" si="38"/>
        <v>1.367819944108409</v>
      </c>
      <c r="L70" s="16">
        <f t="shared" si="38"/>
        <v>1.287365718545303</v>
      </c>
      <c r="M70" s="16">
        <f t="shared" si="38"/>
        <v>1.239345310736669</v>
      </c>
      <c r="N70" s="16">
        <f t="shared" si="38"/>
        <v>1.2098171722792823</v>
      </c>
      <c r="O70" s="16">
        <f t="shared" si="38"/>
        <v>1.1878002949943893</v>
      </c>
      <c r="P70" s="16">
        <f t="shared" si="38"/>
        <v>1.1658875862024796</v>
      </c>
      <c r="Q70" s="16">
        <f t="shared" si="38"/>
        <v>1.140858720435745</v>
      </c>
      <c r="R70" s="16">
        <f t="shared" si="38"/>
        <v>1.1152258438744005</v>
      </c>
      <c r="S70" s="16">
        <f>(S69-$B$16)/($F$16-S68)</f>
        <v>1.0992172350971887</v>
      </c>
      <c r="T70" s="16">
        <f>(T69-$B$16)/($F$16-T68)</f>
        <v>1.111107521682061</v>
      </c>
      <c r="U70" s="16">
        <f>(U69-$B$16)/($F$16-U68)</f>
        <v>1.1728369072818177</v>
      </c>
      <c r="V70" s="16">
        <f t="shared" si="38"/>
        <v>1.3000897499022894</v>
      </c>
      <c r="W70" s="16">
        <f t="shared" si="38"/>
        <v>1.4917451284156342</v>
      </c>
      <c r="X70" s="16">
        <f t="shared" si="38"/>
        <v>1.726563194413758</v>
      </c>
      <c r="Y70" s="16">
        <f t="shared" si="38"/>
        <v>1.9695703336890509</v>
      </c>
      <c r="Z70" s="16">
        <f t="shared" si="38"/>
        <v>2.1828877173174135</v>
      </c>
    </row>
    <row r="71" spans="1:26" ht="12.75">
      <c r="A71" s="14" t="s">
        <v>72</v>
      </c>
      <c r="B71" s="16">
        <f>(B69*$F$16-$B$16*B68)/($F$16-B68)</f>
        <v>-0.15507611969581955</v>
      </c>
      <c r="C71" s="16">
        <f aca="true" t="shared" si="39" ref="C71:Z71">(C69*$F$16-$B$16*C68)/($F$16-C68)</f>
        <v>-0.0407218593156255</v>
      </c>
      <c r="D71" s="16">
        <f t="shared" si="39"/>
        <v>0.011357516512898593</v>
      </c>
      <c r="E71" s="16">
        <f t="shared" si="39"/>
        <v>-0.005213328671131352</v>
      </c>
      <c r="F71" s="16">
        <f t="shared" si="39"/>
        <v>-0.08684787146334173</v>
      </c>
      <c r="G71" s="16">
        <f t="shared" si="39"/>
        <v>-0.21979485326714862</v>
      </c>
      <c r="H71" s="16">
        <f t="shared" si="39"/>
        <v>-0.38073997310211205</v>
      </c>
      <c r="I71" s="16">
        <f t="shared" si="39"/>
        <v>-0.5406021688326902</v>
      </c>
      <c r="J71" s="16">
        <f t="shared" si="39"/>
        <v>-0.6739408039043344</v>
      </c>
      <c r="K71" s="16">
        <f t="shared" si="39"/>
        <v>-0.769273741305731</v>
      </c>
      <c r="L71" s="16">
        <f t="shared" si="39"/>
        <v>-0.8299003488266931</v>
      </c>
      <c r="M71" s="16">
        <f t="shared" si="39"/>
        <v>-0.8660863216184771</v>
      </c>
      <c r="N71" s="16">
        <f t="shared" si="39"/>
        <v>-0.8883373699450371</v>
      </c>
      <c r="O71" s="16">
        <f t="shared" si="39"/>
        <v>-0.9049282769936843</v>
      </c>
      <c r="P71" s="16">
        <f t="shared" si="39"/>
        <v>-0.9214406874525508</v>
      </c>
      <c r="Q71" s="16">
        <f t="shared" si="39"/>
        <v>-0.9403012906205529</v>
      </c>
      <c r="R71" s="16">
        <f t="shared" si="39"/>
        <v>-0.9596170485691393</v>
      </c>
      <c r="S71" s="16">
        <f>(S69*$F$16-$B$16*S68)/($F$16-S68)</f>
        <v>-0.9716804005497182</v>
      </c>
      <c r="T71" s="16">
        <f>(T69*$F$16-$B$16*T68)/($F$16-T68)</f>
        <v>-0.9627204269368049</v>
      </c>
      <c r="U71" s="16">
        <f>(U69*$F$16-$B$16*U68)/($F$16-U68)</f>
        <v>-0.9162039984077511</v>
      </c>
      <c r="V71" s="16">
        <f t="shared" si="39"/>
        <v>-0.8203121034640011</v>
      </c>
      <c r="W71" s="16">
        <f t="shared" si="39"/>
        <v>-0.6758894167612862</v>
      </c>
      <c r="X71" s="16">
        <f t="shared" si="39"/>
        <v>-0.49894131209109466</v>
      </c>
      <c r="Y71" s="16">
        <f t="shared" si="39"/>
        <v>-0.315822298086304</v>
      </c>
      <c r="Z71" s="16">
        <f t="shared" si="39"/>
        <v>-0.15507611969581972</v>
      </c>
    </row>
    <row r="72" spans="1:26" ht="12.75">
      <c r="A72" s="14" t="s">
        <v>95</v>
      </c>
      <c r="B72" s="16">
        <f aca="true" t="shared" si="40" ref="B72:Z72">B34-B33*TAN(B43)-B31*B47/(COS(B43))^2</f>
        <v>1.2971017431166996</v>
      </c>
      <c r="C72" s="16">
        <f t="shared" si="40"/>
        <v>1.2290943972850872</v>
      </c>
      <c r="D72" s="16">
        <f t="shared" si="40"/>
        <v>1.0687259926006485</v>
      </c>
      <c r="E72" s="16">
        <f t="shared" si="40"/>
        <v>0.7287731697497197</v>
      </c>
      <c r="F72" s="16">
        <f t="shared" si="40"/>
        <v>0.23775794856093918</v>
      </c>
      <c r="G72" s="16">
        <f t="shared" si="40"/>
        <v>-0.32235207755962114</v>
      </c>
      <c r="H72" s="16">
        <f t="shared" si="40"/>
        <v>-0.8176396905334169</v>
      </c>
      <c r="I72" s="16">
        <f t="shared" si="40"/>
        <v>-1.0951101699349135</v>
      </c>
      <c r="J72" s="16">
        <f t="shared" si="40"/>
        <v>-1.0957596879391611</v>
      </c>
      <c r="K72" s="16">
        <f t="shared" si="40"/>
        <v>-0.9228098771474708</v>
      </c>
      <c r="L72" s="16">
        <f t="shared" si="40"/>
        <v>-0.7225956579547079</v>
      </c>
      <c r="M72" s="16">
        <f t="shared" si="40"/>
        <v>-0.5653024060531026</v>
      </c>
      <c r="N72" s="16">
        <f t="shared" si="40"/>
        <v>-0.45663118482080295</v>
      </c>
      <c r="O72" s="16">
        <f t="shared" si="40"/>
        <v>-0.3814341700547764</v>
      </c>
      <c r="P72" s="16">
        <f t="shared" si="40"/>
        <v>-0.3230708409423906</v>
      </c>
      <c r="Q72" s="16">
        <f t="shared" si="40"/>
        <v>-0.2675004433315292</v>
      </c>
      <c r="R72" s="16">
        <f t="shared" si="40"/>
        <v>-0.2032151257009303</v>
      </c>
      <c r="S72" s="16">
        <f>S34-S33*TAN(S43)-S31*S47/(COS(S43))^2</f>
        <v>-0.120568487561006</v>
      </c>
      <c r="T72" s="16">
        <f>T34-T33*TAN(T43)-T31*T47/(COS(T43))^2</f>
        <v>-0.010871462023683574</v>
      </c>
      <c r="U72" s="16">
        <f>U34-U33*TAN(U43)-U31*U47/(COS(U43))^2</f>
        <v>0.13503893767636102</v>
      </c>
      <c r="V72" s="16">
        <f t="shared" si="40"/>
        <v>0.3273750724266465</v>
      </c>
      <c r="W72" s="16">
        <f t="shared" si="40"/>
        <v>0.571843490198428</v>
      </c>
      <c r="X72" s="16">
        <f t="shared" si="40"/>
        <v>0.8539889379991551</v>
      </c>
      <c r="Y72" s="16">
        <f t="shared" si="40"/>
        <v>1.1249477268521328</v>
      </c>
      <c r="Z72" s="16">
        <f t="shared" si="40"/>
        <v>1.30954852462985</v>
      </c>
    </row>
    <row r="73" spans="1:26" ht="12.75">
      <c r="A73" s="14" t="s">
        <v>96</v>
      </c>
      <c r="B73" s="16">
        <f aca="true" t="shared" si="41" ref="B73:Z73">(B72*($F$16-B68)+(B69-$B$16)*B47/(COS(B43))^2)/($F$16-TAN(B43))^2</f>
        <v>0.7144562128371804</v>
      </c>
      <c r="C73" s="16">
        <f t="shared" si="41"/>
        <v>0.43133673580748927</v>
      </c>
      <c r="D73" s="16">
        <f t="shared" si="41"/>
        <v>0.09586374201702404</v>
      </c>
      <c r="E73" s="16">
        <f t="shared" si="41"/>
        <v>-0.2789533954374125</v>
      </c>
      <c r="F73" s="16">
        <f t="shared" si="41"/>
        <v>-0.6203801935257172</v>
      </c>
      <c r="G73" s="16">
        <f t="shared" si="41"/>
        <v>-0.8524643375132258</v>
      </c>
      <c r="H73" s="16">
        <f t="shared" si="41"/>
        <v>-0.9159524261316744</v>
      </c>
      <c r="I73" s="16">
        <f t="shared" si="41"/>
        <v>-0.8023634547917322</v>
      </c>
      <c r="J73" s="16">
        <f t="shared" si="41"/>
        <v>-0.582541608334612</v>
      </c>
      <c r="K73" s="16">
        <f t="shared" si="41"/>
        <v>-0.3634117045139409</v>
      </c>
      <c r="L73" s="16">
        <f t="shared" si="41"/>
        <v>-0.20627165357621013</v>
      </c>
      <c r="M73" s="16">
        <f t="shared" si="41"/>
        <v>-0.11481517356111766</v>
      </c>
      <c r="N73" s="16">
        <f t="shared" si="41"/>
        <v>-0.07142645193860205</v>
      </c>
      <c r="O73" s="16">
        <f t="shared" si="41"/>
        <v>-0.0584800243618614</v>
      </c>
      <c r="P73" s="16">
        <f t="shared" si="41"/>
        <v>-0.061238239994114776</v>
      </c>
      <c r="Q73" s="16">
        <f t="shared" si="41"/>
        <v>-0.06543269483254115</v>
      </c>
      <c r="R73" s="16">
        <f t="shared" si="41"/>
        <v>-0.055133326798713425</v>
      </c>
      <c r="S73" s="16">
        <f>(S72*($F$16-S68)+(S69-$B$16)*S47/(COS(S43))^2)/($F$16-TAN(S43))^2</f>
        <v>-0.013007578272001745</v>
      </c>
      <c r="T73" s="16">
        <f>(T72*($F$16-T68)+(T69-$B$16)*T47/(COS(T43))^2)/($F$16-TAN(T43))^2</f>
        <v>0.07586880023876609</v>
      </c>
      <c r="U73" s="16">
        <f>(U72*($F$16-U68)+(U69-$B$16)*U47/(COS(U43))^2)/($F$16-TAN(U43))^2</f>
        <v>0.21758643933123273</v>
      </c>
      <c r="V73" s="16">
        <f t="shared" si="41"/>
        <v>0.40319525041853405</v>
      </c>
      <c r="W73" s="16">
        <f t="shared" si="41"/>
        <v>0.6031377430464108</v>
      </c>
      <c r="X73" s="16">
        <f t="shared" si="41"/>
        <v>0.7637595348353672</v>
      </c>
      <c r="Y73" s="16">
        <f t="shared" si="41"/>
        <v>0.8189099649097143</v>
      </c>
      <c r="Z73" s="16">
        <f t="shared" si="41"/>
        <v>0.721312020740522</v>
      </c>
    </row>
    <row r="74" spans="1:26" ht="12.75">
      <c r="A74" s="14" t="s">
        <v>97</v>
      </c>
      <c r="B74" s="16">
        <f aca="true" t="shared" si="42" ref="B74:Z74">((B72*$F$16-$B$16*B47/(COS(B43)^2))*($F$16-TAN(B43))+(B69*$F$16-$B$16*TAN(B43))*B47/(COS(B43)^2))/($F$16-TAN(B43))^2</f>
        <v>0.5383813728045612</v>
      </c>
      <c r="C74" s="16">
        <f t="shared" si="42"/>
        <v>0.32503554422585235</v>
      </c>
      <c r="D74" s="16">
        <f t="shared" si="42"/>
        <v>0.07223851105493787</v>
      </c>
      <c r="E74" s="16">
        <f t="shared" si="42"/>
        <v>-0.21020646092178846</v>
      </c>
      <c r="F74" s="16">
        <f t="shared" si="42"/>
        <v>-0.4674900074348596</v>
      </c>
      <c r="G74" s="16">
        <f t="shared" si="42"/>
        <v>-0.6423779541012866</v>
      </c>
      <c r="H74" s="16">
        <f t="shared" si="42"/>
        <v>-0.6902196604130034</v>
      </c>
      <c r="I74" s="16">
        <f t="shared" si="42"/>
        <v>-0.60462423101278</v>
      </c>
      <c r="J74" s="16">
        <f t="shared" si="42"/>
        <v>-0.4389765883139426</v>
      </c>
      <c r="K74" s="16">
        <f t="shared" si="42"/>
        <v>-0.2738503617912402</v>
      </c>
      <c r="L74" s="16">
        <f t="shared" si="42"/>
        <v>-0.15543683997375368</v>
      </c>
      <c r="M74" s="16">
        <f t="shared" si="42"/>
        <v>-0.08651943905023544</v>
      </c>
      <c r="N74" s="16">
        <f t="shared" si="42"/>
        <v>-0.053823692142806134</v>
      </c>
      <c r="O74" s="16">
        <f t="shared" si="42"/>
        <v>-0.0440678592079907</v>
      </c>
      <c r="P74" s="16">
        <f t="shared" si="42"/>
        <v>-0.04614632376873205</v>
      </c>
      <c r="Q74" s="16">
        <f t="shared" si="42"/>
        <v>-0.0493070722002015</v>
      </c>
      <c r="R74" s="16">
        <f t="shared" si="42"/>
        <v>-0.041545941704811476</v>
      </c>
      <c r="S74" s="16">
        <f>((S72*$F$16-$B$16*S47/(COS(S43)^2))*($F$16-TAN(S43))+(S69*$F$16-$B$16*TAN(S43))*S47/(COS(S43)^2))/($F$16-TAN(S43))^2</f>
        <v>-0.009801913288896017</v>
      </c>
      <c r="T74" s="16">
        <f>((T72*$F$16-$B$16*T47/(COS(T43)^2))*($F$16-TAN(T43))+(T69*$F$16-$B$16*TAN(T43))*T47/(COS(T43)^2))/($F$16-TAN(T43))^2</f>
        <v>0.057171241696362035</v>
      </c>
      <c r="U74" s="16">
        <f>((U72*$F$16-$B$16*U47/(COS(U43)^2))*($F$16-TAN(U43))+(U69*$F$16-$B$16*TAN(U43))*U47/(COS(U43)^2))/($F$16-TAN(U43))^2</f>
        <v>0.16396314260549635</v>
      </c>
      <c r="V74" s="16">
        <f t="shared" si="42"/>
        <v>0.30382941393509666</v>
      </c>
      <c r="W74" s="16">
        <f t="shared" si="42"/>
        <v>0.45449688904248137</v>
      </c>
      <c r="X74" s="16">
        <f t="shared" si="42"/>
        <v>0.5755340907798171</v>
      </c>
      <c r="Y74" s="16">
        <f t="shared" si="42"/>
        <v>0.6170929207272524</v>
      </c>
      <c r="Z74" s="16">
        <f t="shared" si="42"/>
        <v>0.5435475946168508</v>
      </c>
    </row>
    <row r="75" spans="1:26" ht="12.75">
      <c r="A75" s="42" t="s">
        <v>74</v>
      </c>
      <c r="B75" s="42">
        <f>C75</f>
        <v>0.5796546368710096</v>
      </c>
      <c r="C75" s="42">
        <f>(C70-B70)*B26/$B$10</f>
        <v>0.5796546368710096</v>
      </c>
      <c r="D75" s="42">
        <f aca="true" t="shared" si="43" ref="D75:Z75">(D70-C70)*C26/$B$10</f>
        <v>0.2639871184858855</v>
      </c>
      <c r="E75" s="42">
        <f t="shared" si="43"/>
        <v>-0.0882708414098076</v>
      </c>
      <c r="F75" s="42">
        <f t="shared" si="43"/>
        <v>-0.45053829117441146</v>
      </c>
      <c r="G75" s="42">
        <f t="shared" si="43"/>
        <v>-0.7468875660122238</v>
      </c>
      <c r="H75" s="42">
        <f t="shared" si="43"/>
        <v>-0.9054549512668489</v>
      </c>
      <c r="I75" s="42">
        <f t="shared" si="43"/>
        <v>-0.8855456904060856</v>
      </c>
      <c r="J75" s="42">
        <f t="shared" si="43"/>
        <v>-0.7136024384591256</v>
      </c>
      <c r="K75" s="42">
        <f t="shared" si="43"/>
        <v>-0.48362980999031346</v>
      </c>
      <c r="L75" s="42">
        <f t="shared" si="43"/>
        <v>-0.28782190681954256</v>
      </c>
      <c r="M75" s="42">
        <f t="shared" si="43"/>
        <v>-0.16040900136078962</v>
      </c>
      <c r="N75" s="42">
        <f t="shared" si="43"/>
        <v>-0.09248248199173104</v>
      </c>
      <c r="O75" s="42">
        <f t="shared" si="43"/>
        <v>-0.06489778606542913</v>
      </c>
      <c r="P75" s="42">
        <f t="shared" si="43"/>
        <v>-0.06089200779449732</v>
      </c>
      <c r="Q75" s="42">
        <f t="shared" si="43"/>
        <v>-0.06565767264774813</v>
      </c>
      <c r="R75" s="42">
        <f t="shared" si="43"/>
        <v>-0.06369310474537401</v>
      </c>
      <c r="S75" s="42">
        <f t="shared" si="43"/>
        <v>-0.03797432853510717</v>
      </c>
      <c r="T75" s="42">
        <f t="shared" si="43"/>
        <v>0.027324352675406505</v>
      </c>
      <c r="U75" s="42">
        <f t="shared" si="43"/>
        <v>0.14074376157407203</v>
      </c>
      <c r="V75" s="42">
        <f t="shared" si="43"/>
        <v>0.2977372424452182</v>
      </c>
      <c r="W75" s="42">
        <f t="shared" si="43"/>
        <v>0.4788217071204978</v>
      </c>
      <c r="X75" s="42">
        <f t="shared" si="43"/>
        <v>0.6488845858723407</v>
      </c>
      <c r="Y75" s="42">
        <f t="shared" si="43"/>
        <v>0.7564788961422745</v>
      </c>
      <c r="Z75" s="42">
        <f t="shared" si="43"/>
        <v>0.7458838191237103</v>
      </c>
    </row>
    <row r="76" spans="1:256" ht="12.75">
      <c r="A76" s="42" t="s">
        <v>73</v>
      </c>
      <c r="B76" s="42">
        <f>C76</f>
        <v>0.43680109927501365</v>
      </c>
      <c r="C76" s="42">
        <f aca="true" t="shared" si="44" ref="C76:Z76">(C71-B71)*B26/$B$10</f>
        <v>0.43680109927501365</v>
      </c>
      <c r="D76" s="42">
        <f t="shared" si="44"/>
        <v>0.1989285623100044</v>
      </c>
      <c r="E76" s="42">
        <f t="shared" si="44"/>
        <v>-0.06651685005034282</v>
      </c>
      <c r="F76" s="42">
        <f t="shared" si="44"/>
        <v>-0.3395049540408678</v>
      </c>
      <c r="G76" s="42">
        <f t="shared" si="44"/>
        <v>-0.5628201503399305</v>
      </c>
      <c r="H76" s="42">
        <f t="shared" si="44"/>
        <v>-0.6823092457127624</v>
      </c>
      <c r="I76" s="42">
        <f t="shared" si="44"/>
        <v>-0.6673065415565796</v>
      </c>
      <c r="J76" s="42">
        <f t="shared" si="44"/>
        <v>-0.5377380076641044</v>
      </c>
      <c r="K76" s="42">
        <f t="shared" si="44"/>
        <v>-0.3644412020686462</v>
      </c>
      <c r="L76" s="42">
        <f t="shared" si="44"/>
        <v>-0.2168893635921745</v>
      </c>
      <c r="M76" s="42">
        <f t="shared" si="44"/>
        <v>-0.12087685264836799</v>
      </c>
      <c r="N76" s="42">
        <f t="shared" si="44"/>
        <v>-0.06969054886842828</v>
      </c>
      <c r="O76" s="42">
        <f t="shared" si="44"/>
        <v>-0.0489039895323084</v>
      </c>
      <c r="P76" s="42">
        <f t="shared" si="44"/>
        <v>-0.045885419092433884</v>
      </c>
      <c r="Q76" s="42">
        <f t="shared" si="44"/>
        <v>-0.04947660514403424</v>
      </c>
      <c r="R76" s="42">
        <f t="shared" si="44"/>
        <v>-0.04799619704449881</v>
      </c>
      <c r="S76" s="42">
        <f t="shared" si="44"/>
        <v>-0.02861570906756357</v>
      </c>
      <c r="T76" s="42">
        <f t="shared" si="44"/>
        <v>0.020590376624989318</v>
      </c>
      <c r="U76" s="42">
        <f t="shared" si="44"/>
        <v>0.10605803156084408</v>
      </c>
      <c r="V76" s="42">
        <f t="shared" si="44"/>
        <v>0.22436110491103198</v>
      </c>
      <c r="W76" s="42">
        <f t="shared" si="44"/>
        <v>0.36081803667778467</v>
      </c>
      <c r="X76" s="42">
        <f t="shared" si="44"/>
        <v>0.48896960773337705</v>
      </c>
      <c r="Y76" s="42">
        <f t="shared" si="44"/>
        <v>0.5700477360053018</v>
      </c>
      <c r="Z76" s="42">
        <f t="shared" si="44"/>
        <v>0.5620637728068124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12.75">
      <c r="A77" s="14" t="s">
        <v>106</v>
      </c>
      <c r="B77" s="1" t="e">
        <f>B35-B51*(B71-B32)-B47*(B74-B34)+(Ltt*$B$89*(B70-B31)+Lt*$B$89*(B87-B33))/B89^4</f>
        <v>#NAME?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12.75">
      <c r="A78" s="4" t="s">
        <v>107</v>
      </c>
      <c r="B78" s="20">
        <f>((B70-B31)*(B73-B33)+(B71-B32)*(B74-B34))/B89</f>
        <v>0.7908410284205689</v>
      </c>
      <c r="C78" s="20">
        <f aca="true" t="shared" si="45" ref="C78:Z78">((C70-C31)*(C73-C33)+(C71-C32)*(C74-C34))/C89</f>
        <v>0.8317476835684758</v>
      </c>
      <c r="D78" s="20">
        <f t="shared" si="45"/>
        <v>0.8623650054815234</v>
      </c>
      <c r="E78" s="20">
        <f t="shared" si="45"/>
        <v>0.8447378963395769</v>
      </c>
      <c r="F78" s="20">
        <f t="shared" si="45"/>
        <v>0.7831235587770614</v>
      </c>
      <c r="G78" s="20">
        <f t="shared" si="45"/>
        <v>0.6807511718176278</v>
      </c>
      <c r="H78" s="20">
        <f t="shared" si="45"/>
        <v>0.5373715989255224</v>
      </c>
      <c r="I78" s="20">
        <f t="shared" si="45"/>
        <v>0.35983541325577934</v>
      </c>
      <c r="J78" s="20">
        <f t="shared" si="45"/>
        <v>0.1726386612670903</v>
      </c>
      <c r="K78" s="20">
        <f t="shared" si="45"/>
        <v>0.005504233705956035</v>
      </c>
      <c r="L78" s="20">
        <f t="shared" si="45"/>
        <v>-0.1306377090979941</v>
      </c>
      <c r="M78" s="20">
        <f t="shared" si="45"/>
        <v>-0.24315595068058649</v>
      </c>
      <c r="N78" s="20">
        <f t="shared" si="45"/>
        <v>-0.3421613195181467</v>
      </c>
      <c r="O78" s="20">
        <f t="shared" si="45"/>
        <v>-0.43270754999821254</v>
      </c>
      <c r="P78" s="20">
        <f t="shared" si="45"/>
        <v>-0.5136770514970812</v>
      </c>
      <c r="Q78" s="20">
        <f t="shared" si="45"/>
        <v>-0.5776738903495974</v>
      </c>
      <c r="R78" s="20">
        <f t="shared" si="45"/>
        <v>-0.6112140982512365</v>
      </c>
      <c r="S78" s="20">
        <f t="shared" si="45"/>
        <v>-0.5969019964491752</v>
      </c>
      <c r="T78" s="20">
        <f t="shared" si="45"/>
        <v>-0.5190599222430017</v>
      </c>
      <c r="U78" s="20">
        <f t="shared" si="45"/>
        <v>-0.37100189004976936</v>
      </c>
      <c r="V78" s="20">
        <f t="shared" si="45"/>
        <v>-0.1588247210251563</v>
      </c>
      <c r="W78" s="20">
        <f t="shared" si="45"/>
        <v>0.09896105275792426</v>
      </c>
      <c r="X78" s="20">
        <f t="shared" si="45"/>
        <v>0.3708757188579147</v>
      </c>
      <c r="Y78" s="20">
        <f t="shared" si="45"/>
        <v>0.6158220878429717</v>
      </c>
      <c r="Z78" s="20">
        <f t="shared" si="45"/>
        <v>0.7984298128352242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12.75">
      <c r="A79" s="4" t="s">
        <v>108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12.75">
      <c r="A80" s="42" t="s">
        <v>109</v>
      </c>
      <c r="B80" s="42">
        <f>C80</f>
        <v>-1.081436742116824</v>
      </c>
      <c r="C80" s="42">
        <f>(C73-B73)*B26/$B$10</f>
        <v>-1.081436742116824</v>
      </c>
      <c r="D80" s="42">
        <f aca="true" t="shared" si="46" ref="D80:Z80">(D73-C73)*C26/$B$10</f>
        <v>-1.2814124456541423</v>
      </c>
      <c r="E80" s="42">
        <f t="shared" si="46"/>
        <v>-1.5045494090055964</v>
      </c>
      <c r="F80" s="42">
        <f t="shared" si="46"/>
        <v>-1.4199392246042113</v>
      </c>
      <c r="G80" s="42">
        <f t="shared" si="46"/>
        <v>-0.9825092005723399</v>
      </c>
      <c r="H80" s="42">
        <f t="shared" si="46"/>
        <v>-0.26915081303128907</v>
      </c>
      <c r="I80" s="42">
        <f t="shared" si="46"/>
        <v>0.4741500220075336</v>
      </c>
      <c r="J80" s="42">
        <f t="shared" si="46"/>
        <v>0.8865139626739308</v>
      </c>
      <c r="K80" s="42">
        <f t="shared" si="46"/>
        <v>0.8376954254681582</v>
      </c>
      <c r="L80" s="42">
        <f t="shared" si="46"/>
        <v>0.5621625064694941</v>
      </c>
      <c r="M80" s="42">
        <f t="shared" si="46"/>
        <v>0.30550433235921615</v>
      </c>
      <c r="N80" s="42">
        <f t="shared" si="46"/>
        <v>0.13589399385570572</v>
      </c>
      <c r="O80" s="42">
        <f t="shared" si="46"/>
        <v>0.03816138302970834</v>
      </c>
      <c r="P80" s="42">
        <f t="shared" si="46"/>
        <v>-0.00766465202330831</v>
      </c>
      <c r="Q80" s="42">
        <f t="shared" si="46"/>
        <v>-0.011003221052197606</v>
      </c>
      <c r="R80" s="42">
        <f t="shared" si="46"/>
        <v>0.025592083877898464</v>
      </c>
      <c r="S80" s="42">
        <f t="shared" si="46"/>
        <v>0.09992729765611001</v>
      </c>
      <c r="T80" s="42">
        <f t="shared" si="46"/>
        <v>0.20424146160033327</v>
      </c>
      <c r="U80" s="42">
        <f t="shared" si="46"/>
        <v>0.3231179674555052</v>
      </c>
      <c r="V80" s="42">
        <f t="shared" si="46"/>
        <v>0.4342744291495943</v>
      </c>
      <c r="W80" s="42">
        <f t="shared" si="46"/>
        <v>0.49952579671194264</v>
      </c>
      <c r="X80" s="42">
        <f t="shared" si="46"/>
        <v>0.44385428524857645</v>
      </c>
      <c r="Y80" s="42">
        <f t="shared" si="46"/>
        <v>0.17168276038652022</v>
      </c>
      <c r="Z80" s="42">
        <f t="shared" si="46"/>
        <v>-0.3412601734435523</v>
      </c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12.75">
      <c r="A81" s="42" t="s">
        <v>110</v>
      </c>
      <c r="B81" s="42">
        <f>C81</f>
        <v>-0.8149210369521042</v>
      </c>
      <c r="C81" s="42">
        <f>(C74-B74)*B26/$B$10</f>
        <v>-0.8149210369521042</v>
      </c>
      <c r="D81" s="42">
        <f aca="true" t="shared" si="47" ref="D81:Z81">(D74-C74)*C26/$B$10</f>
        <v>-0.9656135382748051</v>
      </c>
      <c r="E81" s="42">
        <f t="shared" si="47"/>
        <v>-1.1337593007359328</v>
      </c>
      <c r="F81" s="42">
        <f t="shared" si="47"/>
        <v>-1.0700009536003252</v>
      </c>
      <c r="G81" s="42">
        <f t="shared" si="47"/>
        <v>-0.7403737873545446</v>
      </c>
      <c r="H81" s="42">
        <f t="shared" si="47"/>
        <v>-0.20281968524818683</v>
      </c>
      <c r="I81" s="42">
        <f t="shared" si="47"/>
        <v>0.3572976694401052</v>
      </c>
      <c r="J81" s="42">
        <f t="shared" si="47"/>
        <v>0.6680361870456173</v>
      </c>
      <c r="K81" s="42">
        <f t="shared" si="47"/>
        <v>0.6312487806141136</v>
      </c>
      <c r="L81" s="42">
        <f t="shared" si="47"/>
        <v>0.42361983356602606</v>
      </c>
      <c r="M81" s="42">
        <f t="shared" si="47"/>
        <v>0.23021402697323765</v>
      </c>
      <c r="N81" s="42">
        <f t="shared" si="47"/>
        <v>0.10240346945461125</v>
      </c>
      <c r="O81" s="42">
        <f t="shared" si="47"/>
        <v>0.02875666473956081</v>
      </c>
      <c r="P81" s="42">
        <f t="shared" si="47"/>
        <v>-0.005775729574792499</v>
      </c>
      <c r="Q81" s="42">
        <f t="shared" si="47"/>
        <v>-0.008291521788059825</v>
      </c>
      <c r="R81" s="42">
        <f t="shared" si="47"/>
        <v>0.019285018456760547</v>
      </c>
      <c r="S81" s="42">
        <f t="shared" si="47"/>
        <v>0.0753006198645893</v>
      </c>
      <c r="T81" s="42">
        <f t="shared" si="47"/>
        <v>0.15390698058784547</v>
      </c>
      <c r="U81" s="42">
        <f t="shared" si="47"/>
        <v>0.24348685303707873</v>
      </c>
      <c r="V81" s="42">
        <f t="shared" si="47"/>
        <v>0.3272492549417557</v>
      </c>
      <c r="W81" s="42">
        <f t="shared" si="47"/>
        <v>0.37641968724310976</v>
      </c>
      <c r="X81" s="42">
        <f t="shared" si="47"/>
        <v>0.3344681943045454</v>
      </c>
      <c r="Y81" s="42">
        <f t="shared" si="47"/>
        <v>0.12937223942209006</v>
      </c>
      <c r="Z81" s="42">
        <f t="shared" si="47"/>
        <v>-0.25715798583717225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12.75">
      <c r="A82" s="4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ht="13.5" thickBot="1"/>
    <row r="84" spans="1:26" ht="13.5" thickBot="1">
      <c r="A84" s="48" t="s">
        <v>94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4" t="s">
        <v>100</v>
      </c>
      <c r="B85" s="16">
        <f aca="true" t="shared" si="48" ref="B85:Z85">B55-B54*B68</f>
        <v>0.16326509744650886</v>
      </c>
      <c r="C85" s="16">
        <f t="shared" si="48"/>
        <v>0.4970649007323271</v>
      </c>
      <c r="D85" s="16">
        <f t="shared" si="48"/>
        <v>0.7941940331324806</v>
      </c>
      <c r="E85" s="16">
        <f t="shared" si="48"/>
        <v>1.0176716753125081</v>
      </c>
      <c r="F85" s="16">
        <f t="shared" si="48"/>
        <v>1.1352277295740492</v>
      </c>
      <c r="G85" s="16">
        <f t="shared" si="48"/>
        <v>1.125495927171912</v>
      </c>
      <c r="H85" s="16">
        <f t="shared" si="48"/>
        <v>0.9871721700297096</v>
      </c>
      <c r="I85" s="16">
        <f t="shared" si="48"/>
        <v>0.7486330795185148</v>
      </c>
      <c r="J85" s="16">
        <f t="shared" si="48"/>
        <v>0.46471627181727726</v>
      </c>
      <c r="K85" s="16">
        <f t="shared" si="48"/>
        <v>0.19011403177678354</v>
      </c>
      <c r="L85" s="16">
        <f t="shared" si="48"/>
        <v>-0.04704930648982941</v>
      </c>
      <c r="M85" s="16">
        <f t="shared" si="48"/>
        <v>-0.24462574713371188</v>
      </c>
      <c r="N85" s="16">
        <f t="shared" si="48"/>
        <v>-0.41151774020896004</v>
      </c>
      <c r="O85" s="16">
        <f t="shared" si="48"/>
        <v>-0.5571151636611323</v>
      </c>
      <c r="P85" s="16">
        <f t="shared" si="48"/>
        <v>-0.6872306499342271</v>
      </c>
      <c r="Q85" s="16">
        <f t="shared" si="48"/>
        <v>-0.8029635102647712</v>
      </c>
      <c r="R85" s="16">
        <f t="shared" si="48"/>
        <v>-0.9003738418098713</v>
      </c>
      <c r="S85" s="16">
        <f t="shared" si="48"/>
        <v>-0.9705455012750399</v>
      </c>
      <c r="T85" s="16">
        <f t="shared" si="48"/>
        <v>-1.0004401672857144</v>
      </c>
      <c r="U85" s="16">
        <f t="shared" si="48"/>
        <v>-0.9751043071904655</v>
      </c>
      <c r="V85" s="16">
        <f t="shared" si="48"/>
        <v>-0.881346383991292</v>
      </c>
      <c r="W85" s="16">
        <f t="shared" si="48"/>
        <v>-0.7121378658932022</v>
      </c>
      <c r="X85" s="16">
        <f t="shared" si="48"/>
        <v>-0.4703017844951774</v>
      </c>
      <c r="Y85" s="16">
        <f t="shared" si="48"/>
        <v>-0.17016459868556766</v>
      </c>
      <c r="Z85" s="16">
        <f t="shared" si="48"/>
        <v>0.16326509744650863</v>
      </c>
    </row>
    <row r="86" spans="1:26" ht="12.75">
      <c r="A86" s="49" t="s">
        <v>95</v>
      </c>
      <c r="B86" s="16">
        <f>B58-B57*TAN(B43)-B54*B47/(COS(B43)^2)</f>
        <v>1.2971017431166996</v>
      </c>
      <c r="C86" s="16">
        <f aca="true" t="shared" si="49" ref="C86:Z86">C58-C57*TAN(C43)-C54*C47/(COS(C43)^2)</f>
        <v>1.2290943972850874</v>
      </c>
      <c r="D86" s="16">
        <f t="shared" si="49"/>
        <v>1.0687259926006487</v>
      </c>
      <c r="E86" s="16">
        <f t="shared" si="49"/>
        <v>0.7287731697497197</v>
      </c>
      <c r="F86" s="16">
        <f t="shared" si="49"/>
        <v>0.23775794856093913</v>
      </c>
      <c r="G86" s="16">
        <f t="shared" si="49"/>
        <v>-0.32235207755962114</v>
      </c>
      <c r="H86" s="16">
        <f t="shared" si="49"/>
        <v>-0.8176396905334169</v>
      </c>
      <c r="I86" s="16">
        <f t="shared" si="49"/>
        <v>-1.0951101699349135</v>
      </c>
      <c r="J86" s="16">
        <f t="shared" si="49"/>
        <v>-1.095759687939161</v>
      </c>
      <c r="K86" s="16">
        <f t="shared" si="49"/>
        <v>-0.9228098771474705</v>
      </c>
      <c r="L86" s="16">
        <f t="shared" si="49"/>
        <v>-0.7225956579547079</v>
      </c>
      <c r="M86" s="16">
        <f t="shared" si="49"/>
        <v>-0.5653024060531027</v>
      </c>
      <c r="N86" s="16">
        <f t="shared" si="49"/>
        <v>-0.4566311848208029</v>
      </c>
      <c r="O86" s="16">
        <f t="shared" si="49"/>
        <v>-0.38143417005477637</v>
      </c>
      <c r="P86" s="16">
        <f t="shared" si="49"/>
        <v>-0.3230708409423906</v>
      </c>
      <c r="Q86" s="16">
        <f t="shared" si="49"/>
        <v>-0.2675004433315292</v>
      </c>
      <c r="R86" s="16">
        <f t="shared" si="49"/>
        <v>-0.2032151257009303</v>
      </c>
      <c r="S86" s="16">
        <f t="shared" si="49"/>
        <v>-0.12056848756100591</v>
      </c>
      <c r="T86" s="16">
        <f t="shared" si="49"/>
        <v>-0.010871462023683609</v>
      </c>
      <c r="U86" s="16">
        <f t="shared" si="49"/>
        <v>0.13503893767636102</v>
      </c>
      <c r="V86" s="16">
        <f t="shared" si="49"/>
        <v>0.32737507242664643</v>
      </c>
      <c r="W86" s="16">
        <f t="shared" si="49"/>
        <v>0.571843490198428</v>
      </c>
      <c r="X86" s="16">
        <f t="shared" si="49"/>
        <v>0.8539889379991552</v>
      </c>
      <c r="Y86" s="16">
        <f t="shared" si="49"/>
        <v>1.124947726852133</v>
      </c>
      <c r="Z86" s="16">
        <f t="shared" si="49"/>
        <v>1.3095485246298497</v>
      </c>
    </row>
    <row r="87" spans="1:26" ht="12.75">
      <c r="A87" s="14" t="s">
        <v>96</v>
      </c>
      <c r="B87" s="16">
        <f aca="true" t="shared" si="50" ref="B87:Z87">(B86*($F$16-TAN(B43))+(B85-$B$16)*B47/(COS(B43)^2))/($F$16-TAN(B43))^2</f>
        <v>0.7144562128371804</v>
      </c>
      <c r="C87" s="16">
        <f t="shared" si="50"/>
        <v>0.4313367358074895</v>
      </c>
      <c r="D87" s="16">
        <f t="shared" si="50"/>
        <v>0.09586374201702422</v>
      </c>
      <c r="E87" s="16">
        <f t="shared" si="50"/>
        <v>-0.2789533954374123</v>
      </c>
      <c r="F87" s="16">
        <f t="shared" si="50"/>
        <v>-0.6203801935257172</v>
      </c>
      <c r="G87" s="16">
        <f t="shared" si="50"/>
        <v>-0.8524643375132258</v>
      </c>
      <c r="H87" s="16">
        <f t="shared" si="50"/>
        <v>-0.9159524261316742</v>
      </c>
      <c r="I87" s="16">
        <f t="shared" si="50"/>
        <v>-0.8023634547917322</v>
      </c>
      <c r="J87" s="16">
        <f t="shared" si="50"/>
        <v>-0.582541608334612</v>
      </c>
      <c r="K87" s="16">
        <f t="shared" si="50"/>
        <v>-0.3634117045139408</v>
      </c>
      <c r="L87" s="16">
        <f t="shared" si="50"/>
        <v>-0.20627165357621008</v>
      </c>
      <c r="M87" s="16">
        <f t="shared" si="50"/>
        <v>-0.11481517356111773</v>
      </c>
      <c r="N87" s="16">
        <f t="shared" si="50"/>
        <v>-0.07142645193860209</v>
      </c>
      <c r="O87" s="16">
        <f t="shared" si="50"/>
        <v>-0.058480024361861345</v>
      </c>
      <c r="P87" s="16">
        <f t="shared" si="50"/>
        <v>-0.061238239994114776</v>
      </c>
      <c r="Q87" s="16">
        <f t="shared" si="50"/>
        <v>-0.06543269483254115</v>
      </c>
      <c r="R87" s="16">
        <f t="shared" si="50"/>
        <v>-0.055133326798713425</v>
      </c>
      <c r="S87" s="16">
        <f t="shared" si="50"/>
        <v>-0.013007578272001621</v>
      </c>
      <c r="T87" s="16">
        <f t="shared" si="50"/>
        <v>0.07586880023876603</v>
      </c>
      <c r="U87" s="16">
        <f t="shared" si="50"/>
        <v>0.2175864393312327</v>
      </c>
      <c r="V87" s="16">
        <f t="shared" si="50"/>
        <v>0.403195250418534</v>
      </c>
      <c r="W87" s="16">
        <f t="shared" si="50"/>
        <v>0.6031377430464109</v>
      </c>
      <c r="X87" s="16">
        <f t="shared" si="50"/>
        <v>0.7637595348353674</v>
      </c>
      <c r="Y87" s="16">
        <f t="shared" si="50"/>
        <v>0.8189099649097149</v>
      </c>
      <c r="Z87" s="16">
        <f t="shared" si="50"/>
        <v>0.7213120207405215</v>
      </c>
    </row>
    <row r="88" spans="1:256" ht="12.75">
      <c r="A88" s="14" t="s">
        <v>97</v>
      </c>
      <c r="B88" s="16">
        <f aca="true" t="shared" si="51" ref="B88:Z88">((B86*$F$16-$B$16*B47/(COS(B43)^2))*($F$16-TAN(B43))+(B85*$F$16-$B$16*TAN(B43))*B47/(COS(B43)^2))/($F$16-TAN(B43))^2</f>
        <v>0.5383813728045612</v>
      </c>
      <c r="C88" s="16">
        <f t="shared" si="51"/>
        <v>0.32503554422585257</v>
      </c>
      <c r="D88" s="16">
        <f t="shared" si="51"/>
        <v>0.07223851105493795</v>
      </c>
      <c r="E88" s="16">
        <f t="shared" si="51"/>
        <v>-0.21020646092178846</v>
      </c>
      <c r="F88" s="16">
        <f t="shared" si="51"/>
        <v>-0.4674900074348596</v>
      </c>
      <c r="G88" s="16">
        <f t="shared" si="51"/>
        <v>-0.6423779541012866</v>
      </c>
      <c r="H88" s="16">
        <f t="shared" si="51"/>
        <v>-0.6902196604130034</v>
      </c>
      <c r="I88" s="16">
        <f t="shared" si="51"/>
        <v>-0.60462423101278</v>
      </c>
      <c r="J88" s="16">
        <f t="shared" si="51"/>
        <v>-0.43897658831394243</v>
      </c>
      <c r="K88" s="16">
        <f t="shared" si="51"/>
        <v>-0.27385036179124</v>
      </c>
      <c r="L88" s="16">
        <f t="shared" si="51"/>
        <v>-0.15543683997375368</v>
      </c>
      <c r="M88" s="16">
        <f t="shared" si="51"/>
        <v>-0.08651943905023553</v>
      </c>
      <c r="N88" s="16">
        <f t="shared" si="51"/>
        <v>-0.05382369214280609</v>
      </c>
      <c r="O88" s="16">
        <f t="shared" si="51"/>
        <v>-0.0440678592079906</v>
      </c>
      <c r="P88" s="16">
        <f t="shared" si="51"/>
        <v>-0.04614632376873205</v>
      </c>
      <c r="Q88" s="16">
        <f t="shared" si="51"/>
        <v>-0.0493070722002015</v>
      </c>
      <c r="R88" s="16">
        <f t="shared" si="51"/>
        <v>-0.041545941704811476</v>
      </c>
      <c r="S88" s="16">
        <f t="shared" si="51"/>
        <v>-0.009801913288895918</v>
      </c>
      <c r="T88" s="16">
        <f t="shared" si="51"/>
        <v>0.05717124169636198</v>
      </c>
      <c r="U88" s="16">
        <f t="shared" si="51"/>
        <v>0.16396314260549633</v>
      </c>
      <c r="V88" s="16">
        <f t="shared" si="51"/>
        <v>0.30382941393509655</v>
      </c>
      <c r="W88" s="16">
        <f t="shared" si="51"/>
        <v>0.45449688904248137</v>
      </c>
      <c r="X88" s="16">
        <f t="shared" si="51"/>
        <v>0.5755340907798172</v>
      </c>
      <c r="Y88" s="16">
        <f t="shared" si="51"/>
        <v>0.6170929207272526</v>
      </c>
      <c r="Z88" s="16">
        <f t="shared" si="51"/>
        <v>0.5435475946168506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12.75">
      <c r="A89" s="14" t="s">
        <v>98</v>
      </c>
      <c r="B89" s="20">
        <f>SQRT((B70-B31)^2+(B71-B32)^2)</f>
        <v>1.1955541754200905</v>
      </c>
      <c r="C89" s="20">
        <f aca="true" t="shared" si="52" ref="C89:Z89">SQRT((C70-C31)^2+(C71-C32)^2)</f>
        <v>1.4093451381962183</v>
      </c>
      <c r="D89" s="20">
        <f t="shared" si="52"/>
        <v>1.6265362680374174</v>
      </c>
      <c r="E89" s="20">
        <f t="shared" si="52"/>
        <v>1.8361092292870484</v>
      </c>
      <c r="F89" s="20">
        <f t="shared" si="52"/>
        <v>2.030660373931368</v>
      </c>
      <c r="G89" s="20">
        <f t="shared" si="52"/>
        <v>2.2040058310173616</v>
      </c>
      <c r="H89" s="20">
        <f t="shared" si="52"/>
        <v>2.3493285341311045</v>
      </c>
      <c r="I89" s="20">
        <f t="shared" si="52"/>
        <v>2.458876169864569</v>
      </c>
      <c r="J89" s="20">
        <f t="shared" si="52"/>
        <v>2.5262336011802993</v>
      </c>
      <c r="K89" s="20">
        <f t="shared" si="52"/>
        <v>2.549378949214152</v>
      </c>
      <c r="L89" s="20">
        <f t="shared" si="52"/>
        <v>2.5303444990066186</v>
      </c>
      <c r="M89" s="20">
        <f t="shared" si="52"/>
        <v>2.471881008841918</v>
      </c>
      <c r="N89" s="20">
        <f t="shared" si="52"/>
        <v>2.375091460563869</v>
      </c>
      <c r="O89" s="20">
        <f t="shared" si="52"/>
        <v>2.239302236042972</v>
      </c>
      <c r="P89" s="20">
        <f t="shared" si="52"/>
        <v>2.0634713855321367</v>
      </c>
      <c r="Q89" s="20">
        <f t="shared" si="52"/>
        <v>1.8487690421343321</v>
      </c>
      <c r="R89" s="20">
        <f t="shared" si="52"/>
        <v>1.6022914948579694</v>
      </c>
      <c r="S89" s="20">
        <f t="shared" si="52"/>
        <v>1.3411398455079782</v>
      </c>
      <c r="T89" s="20">
        <f t="shared" si="52"/>
        <v>1.0942851297292295</v>
      </c>
      <c r="U89" s="20">
        <f t="shared" si="52"/>
        <v>0.8983302462098374</v>
      </c>
      <c r="V89" s="20">
        <f t="shared" si="52"/>
        <v>0.7859163046861758</v>
      </c>
      <c r="W89" s="20">
        <f t="shared" si="52"/>
        <v>0.772633331189264</v>
      </c>
      <c r="X89" s="20">
        <f t="shared" si="52"/>
        <v>0.8520606845897752</v>
      </c>
      <c r="Y89" s="20">
        <f t="shared" si="52"/>
        <v>1.0020034982514785</v>
      </c>
      <c r="Z89" s="20">
        <f t="shared" si="52"/>
        <v>1.1955541754200905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6" ht="12.75">
      <c r="A90" s="50" t="s">
        <v>99</v>
      </c>
      <c r="B90" s="16">
        <f>SQRT((B70-B54)^2+(B71-B55)^2)</f>
        <v>2.4744458245799095</v>
      </c>
      <c r="C90" s="16">
        <f aca="true" t="shared" si="53" ref="C90:Z90">SQRT((C70-C54)^2+(C71-C55)^2)</f>
        <v>2.260654861803782</v>
      </c>
      <c r="D90" s="16">
        <f t="shared" si="53"/>
        <v>2.043463731962583</v>
      </c>
      <c r="E90" s="16">
        <f t="shared" si="53"/>
        <v>1.8338907707129521</v>
      </c>
      <c r="F90" s="16">
        <f t="shared" si="53"/>
        <v>1.6393396260686328</v>
      </c>
      <c r="G90" s="16">
        <f t="shared" si="53"/>
        <v>1.4659941689826386</v>
      </c>
      <c r="H90" s="16">
        <f t="shared" si="53"/>
        <v>1.3206714658688956</v>
      </c>
      <c r="I90" s="16">
        <f t="shared" si="53"/>
        <v>1.2111238301354315</v>
      </c>
      <c r="J90" s="16">
        <f t="shared" si="53"/>
        <v>1.1437663988197015</v>
      </c>
      <c r="K90" s="16">
        <f t="shared" si="53"/>
        <v>1.120621050785848</v>
      </c>
      <c r="L90" s="16">
        <f t="shared" si="53"/>
        <v>1.1396555009933813</v>
      </c>
      <c r="M90" s="16">
        <f t="shared" si="53"/>
        <v>1.1981189911580818</v>
      </c>
      <c r="N90" s="16">
        <f t="shared" si="53"/>
        <v>1.2949085394361315</v>
      </c>
      <c r="O90" s="16">
        <f t="shared" si="53"/>
        <v>1.430697763957028</v>
      </c>
      <c r="P90" s="16">
        <f t="shared" si="53"/>
        <v>1.6065286144678628</v>
      </c>
      <c r="Q90" s="16">
        <f t="shared" si="53"/>
        <v>1.821230957865668</v>
      </c>
      <c r="R90" s="16">
        <f t="shared" si="53"/>
        <v>2.0677085051420296</v>
      </c>
      <c r="S90" s="16">
        <f t="shared" si="53"/>
        <v>2.3288601544920216</v>
      </c>
      <c r="T90" s="16">
        <f t="shared" si="53"/>
        <v>2.575714870270771</v>
      </c>
      <c r="U90" s="16">
        <f t="shared" si="53"/>
        <v>2.771669753790163</v>
      </c>
      <c r="V90" s="16">
        <f t="shared" si="53"/>
        <v>2.8840836953138242</v>
      </c>
      <c r="W90" s="16">
        <f t="shared" si="53"/>
        <v>2.897366668810736</v>
      </c>
      <c r="X90" s="16">
        <f t="shared" si="53"/>
        <v>2.8179393154102246</v>
      </c>
      <c r="Y90" s="16">
        <f t="shared" si="53"/>
        <v>2.6679965017485223</v>
      </c>
      <c r="Z90" s="16">
        <f t="shared" si="53"/>
        <v>2.4744458245799095</v>
      </c>
    </row>
    <row r="91" spans="1:26" ht="12.75">
      <c r="A91" s="46" t="s">
        <v>52</v>
      </c>
      <c r="B91" s="46">
        <f>B89+B90-$D$6</f>
        <v>0</v>
      </c>
      <c r="C91" s="46">
        <f aca="true" t="shared" si="54" ref="C91:Z91">C89+C90-$D$6</f>
        <v>0</v>
      </c>
      <c r="D91" s="46">
        <f t="shared" si="54"/>
        <v>0</v>
      </c>
      <c r="E91" s="46">
        <f t="shared" si="54"/>
        <v>0</v>
      </c>
      <c r="F91" s="46">
        <f t="shared" si="54"/>
        <v>0</v>
      </c>
      <c r="G91" s="46">
        <f t="shared" si="54"/>
        <v>0</v>
      </c>
      <c r="H91" s="46">
        <f t="shared" si="54"/>
        <v>0</v>
      </c>
      <c r="I91" s="46">
        <f t="shared" si="54"/>
        <v>0</v>
      </c>
      <c r="J91" s="46">
        <f t="shared" si="54"/>
        <v>0</v>
      </c>
      <c r="K91" s="46">
        <f t="shared" si="54"/>
        <v>0</v>
      </c>
      <c r="L91" s="46">
        <f t="shared" si="54"/>
        <v>0</v>
      </c>
      <c r="M91" s="46">
        <f t="shared" si="54"/>
        <v>0</v>
      </c>
      <c r="N91" s="46">
        <f t="shared" si="54"/>
        <v>0</v>
      </c>
      <c r="O91" s="46">
        <f t="shared" si="54"/>
        <v>0</v>
      </c>
      <c r="P91" s="46">
        <f t="shared" si="54"/>
        <v>0</v>
      </c>
      <c r="Q91" s="46">
        <f t="shared" si="54"/>
        <v>0</v>
      </c>
      <c r="R91" s="46">
        <f t="shared" si="54"/>
        <v>0</v>
      </c>
      <c r="S91" s="46">
        <f t="shared" si="54"/>
        <v>0</v>
      </c>
      <c r="T91" s="46">
        <f t="shared" si="54"/>
        <v>0</v>
      </c>
      <c r="U91" s="46">
        <f t="shared" si="54"/>
        <v>0</v>
      </c>
      <c r="V91" s="46">
        <f t="shared" si="54"/>
        <v>0</v>
      </c>
      <c r="W91" s="46">
        <f t="shared" si="54"/>
        <v>0</v>
      </c>
      <c r="X91" s="46">
        <f t="shared" si="54"/>
        <v>0</v>
      </c>
      <c r="Y91" s="46">
        <f t="shared" si="54"/>
        <v>0</v>
      </c>
      <c r="Z91" s="46">
        <f t="shared" si="54"/>
        <v>0</v>
      </c>
    </row>
    <row r="94" spans="1:26" ht="13.5" thickBot="1">
      <c r="A94" s="2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3.5" thickBot="1"/>
    <row r="96" spans="1:2" ht="13.5" thickBot="1">
      <c r="A96" s="23"/>
      <c r="B96" s="29"/>
    </row>
    <row r="97" spans="1:256" ht="12.7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1:26" ht="12.75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2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thickBot="1">
      <c r="A100" s="2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thickBot="1">
      <c r="A101" s="51" t="s">
        <v>75</v>
      </c>
      <c r="B101" s="17"/>
      <c r="C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thickBot="1">
      <c r="A102" s="53" t="s">
        <v>92</v>
      </c>
      <c r="B102" s="52"/>
      <c r="C102" s="52"/>
      <c r="D102" s="2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2.75">
      <c r="A103" s="15" t="s">
        <v>77</v>
      </c>
      <c r="B103" s="32">
        <f>$I$5*COS(B21)-$J$5*SIN(B21)</f>
        <v>0.5</v>
      </c>
      <c r="C103" s="32">
        <f aca="true" t="shared" si="55" ref="C103:Z103">$I$5*COS(C21)-$J$5*SIN(C21)</f>
        <v>0.40531719961377793</v>
      </c>
      <c r="D103" s="32">
        <f t="shared" si="55"/>
        <v>0.2830127018922194</v>
      </c>
      <c r="E103" s="32">
        <f t="shared" si="55"/>
        <v>0.14142135623730956</v>
      </c>
      <c r="F103" s="32">
        <f t="shared" si="55"/>
        <v>-0.009807621135331512</v>
      </c>
      <c r="G103" s="32">
        <f t="shared" si="55"/>
        <v>-0.16036822533546014</v>
      </c>
      <c r="H103" s="32">
        <f t="shared" si="55"/>
        <v>-0.29999999999999993</v>
      </c>
      <c r="I103" s="32">
        <f t="shared" si="55"/>
        <v>-0.4191872704379808</v>
      </c>
      <c r="J103" s="32">
        <f t="shared" si="55"/>
        <v>-0.5098076211353316</v>
      </c>
      <c r="K103" s="32">
        <f t="shared" si="55"/>
        <v>-0.565685424949238</v>
      </c>
      <c r="L103" s="32">
        <f t="shared" si="55"/>
        <v>-0.5830127018922193</v>
      </c>
      <c r="M103" s="32">
        <f t="shared" si="55"/>
        <v>-0.5606086266752903</v>
      </c>
      <c r="N103" s="32">
        <f t="shared" si="55"/>
        <v>-0.4999999999999999</v>
      </c>
      <c r="O103" s="32">
        <f t="shared" si="55"/>
        <v>-0.40531719961377793</v>
      </c>
      <c r="P103" s="32">
        <f t="shared" si="55"/>
        <v>-0.2830127018922193</v>
      </c>
      <c r="Q103" s="32">
        <f t="shared" si="55"/>
        <v>-0.14142135623730936</v>
      </c>
      <c r="R103" s="32">
        <f t="shared" si="55"/>
        <v>0.009807621135331818</v>
      </c>
      <c r="S103" s="32">
        <f t="shared" si="55"/>
        <v>0.1603682253354602</v>
      </c>
      <c r="T103" s="32">
        <f t="shared" si="55"/>
        <v>0.2999999999999999</v>
      </c>
      <c r="U103" s="32">
        <f t="shared" si="55"/>
        <v>0.419187270437981</v>
      </c>
      <c r="V103" s="32">
        <f t="shared" si="55"/>
        <v>0.5098076211353316</v>
      </c>
      <c r="W103" s="32">
        <f t="shared" si="55"/>
        <v>0.565685424949238</v>
      </c>
      <c r="X103" s="32">
        <f t="shared" si="55"/>
        <v>0.5830127018922193</v>
      </c>
      <c r="Y103" s="32">
        <f t="shared" si="55"/>
        <v>0.5606086266752903</v>
      </c>
      <c r="Z103" s="32">
        <f t="shared" si="55"/>
        <v>0.5000000000000001</v>
      </c>
    </row>
    <row r="104" spans="1:26" s="32" customFormat="1" ht="12.75">
      <c r="A104" s="15" t="s">
        <v>78</v>
      </c>
      <c r="B104" s="32">
        <f>$I$5*SIN(B21)+$J$5*COS(B21)</f>
        <v>0.3</v>
      </c>
      <c r="C104" s="32">
        <f aca="true" t="shared" si="56" ref="C104:Z104">$I$5*SIN(C21)+$J$5*COS(C21)</f>
        <v>0.4191872704379809</v>
      </c>
      <c r="D104" s="32">
        <f t="shared" si="56"/>
        <v>0.5098076211353316</v>
      </c>
      <c r="E104" s="32">
        <f t="shared" si="56"/>
        <v>0.565685424949238</v>
      </c>
      <c r="F104" s="32">
        <f t="shared" si="56"/>
        <v>0.5830127018922193</v>
      </c>
      <c r="G104" s="32">
        <f t="shared" si="56"/>
        <v>0.5606086266752903</v>
      </c>
      <c r="H104" s="32">
        <f t="shared" si="56"/>
        <v>0.5</v>
      </c>
      <c r="I104" s="32">
        <f t="shared" si="56"/>
        <v>0.405317199613778</v>
      </c>
      <c r="J104" s="32">
        <f t="shared" si="56"/>
        <v>0.28301270189221917</v>
      </c>
      <c r="K104" s="32">
        <f t="shared" si="56"/>
        <v>0.14142135623730928</v>
      </c>
      <c r="L104" s="32">
        <f t="shared" si="56"/>
        <v>-0.009807621135331651</v>
      </c>
      <c r="M104" s="32">
        <f t="shared" si="56"/>
        <v>-0.16036822533546022</v>
      </c>
      <c r="N104" s="32">
        <f t="shared" si="56"/>
        <v>-0.30000000000000016</v>
      </c>
      <c r="O104" s="32">
        <f t="shared" si="56"/>
        <v>-0.4191872704379809</v>
      </c>
      <c r="P104" s="32">
        <f t="shared" si="56"/>
        <v>-0.5098076211353316</v>
      </c>
      <c r="Q104" s="32">
        <f t="shared" si="56"/>
        <v>-0.565685424949238</v>
      </c>
      <c r="R104" s="32">
        <f t="shared" si="56"/>
        <v>-0.5830127018922193</v>
      </c>
      <c r="S104" s="32">
        <f t="shared" si="56"/>
        <v>-0.5606086266752903</v>
      </c>
      <c r="T104" s="32">
        <f t="shared" si="56"/>
        <v>-0.5</v>
      </c>
      <c r="U104" s="32">
        <f t="shared" si="56"/>
        <v>-0.40531719961377777</v>
      </c>
      <c r="V104" s="32">
        <f t="shared" si="56"/>
        <v>-0.2830127018922193</v>
      </c>
      <c r="W104" s="32">
        <f t="shared" si="56"/>
        <v>-0.14142135623730964</v>
      </c>
      <c r="X104" s="32">
        <f t="shared" si="56"/>
        <v>0.00980762113533179</v>
      </c>
      <c r="Y104" s="32">
        <f t="shared" si="56"/>
        <v>0.16036822533546016</v>
      </c>
      <c r="Z104" s="32">
        <f t="shared" si="56"/>
        <v>0.2999999999999999</v>
      </c>
    </row>
    <row r="105" spans="1:256" ht="12.75">
      <c r="A105" s="15" t="s">
        <v>79</v>
      </c>
      <c r="B105" s="32">
        <f aca="true" t="shared" si="57" ref="B105:Z105">-B26*B104</f>
        <v>-0.3</v>
      </c>
      <c r="C105" s="32">
        <f t="shared" si="57"/>
        <v>-0.4191872704379809</v>
      </c>
      <c r="D105" s="32">
        <f t="shared" si="57"/>
        <v>-0.5357497351064141</v>
      </c>
      <c r="E105" s="32">
        <f t="shared" si="57"/>
        <v>-0.6159078890447105</v>
      </c>
      <c r="F105" s="32">
        <f t="shared" si="57"/>
        <v>-0.6461566211094785</v>
      </c>
      <c r="G105" s="32">
        <f t="shared" si="57"/>
        <v>-0.6222026361100648</v>
      </c>
      <c r="H105" s="32">
        <f t="shared" si="57"/>
        <v>-0.546409497428365</v>
      </c>
      <c r="I105" s="32">
        <f t="shared" si="57"/>
        <v>-0.4279355721133563</v>
      </c>
      <c r="J105" s="32">
        <f t="shared" si="57"/>
        <v>-0.28324291148249875</v>
      </c>
      <c r="K105" s="32">
        <f t="shared" si="57"/>
        <v>-0.13245202785461824</v>
      </c>
      <c r="L105" s="32">
        <f t="shared" si="57"/>
        <v>0.008576995824799333</v>
      </c>
      <c r="M105" s="32">
        <f t="shared" si="57"/>
        <v>0.13149533864601962</v>
      </c>
      <c r="N105" s="32">
        <f t="shared" si="57"/>
        <v>0.23150695407346597</v>
      </c>
      <c r="O105" s="32">
        <f t="shared" si="57"/>
        <v>0.3049586381680185</v>
      </c>
      <c r="P105" s="32">
        <f t="shared" si="57"/>
        <v>0.3501218909200714</v>
      </c>
      <c r="Q105" s="32">
        <f t="shared" si="57"/>
        <v>0.3679922639899933</v>
      </c>
      <c r="R105" s="32">
        <f t="shared" si="57"/>
        <v>0.3620621744641794</v>
      </c>
      <c r="S105" s="32">
        <f t="shared" si="57"/>
        <v>0.33727640716881957</v>
      </c>
      <c r="T105" s="32">
        <f t="shared" si="57"/>
        <v>0.29845291880555125</v>
      </c>
      <c r="U105" s="32">
        <f t="shared" si="57"/>
        <v>0.24827290692492157</v>
      </c>
      <c r="V105" s="32">
        <f t="shared" si="57"/>
        <v>0.18510893121875063</v>
      </c>
      <c r="W105" s="32">
        <f t="shared" si="57"/>
        <v>0.10231035117733858</v>
      </c>
      <c r="X105" s="32">
        <f t="shared" si="57"/>
        <v>-0.00799300512534915</v>
      </c>
      <c r="Y105" s="32">
        <f t="shared" si="57"/>
        <v>-0.1468019712823908</v>
      </c>
      <c r="Z105" s="32">
        <f t="shared" si="57"/>
        <v>-0.30287875216709886</v>
      </c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</row>
    <row r="106" spans="1:26" ht="12.75">
      <c r="A106" s="15" t="s">
        <v>80</v>
      </c>
      <c r="B106" s="32">
        <f aca="true" t="shared" si="58" ref="B106:Z106">B26*B103</f>
        <v>0.5</v>
      </c>
      <c r="C106" s="32">
        <f t="shared" si="58"/>
        <v>0.40531719961377793</v>
      </c>
      <c r="D106" s="32">
        <f t="shared" si="58"/>
        <v>0.2974141103125203</v>
      </c>
      <c r="E106" s="32">
        <f t="shared" si="58"/>
        <v>0.15397697226117768</v>
      </c>
      <c r="F106" s="32">
        <f t="shared" si="58"/>
        <v>-0.01086984779810042</v>
      </c>
      <c r="G106" s="32">
        <f t="shared" si="58"/>
        <v>-0.17798786498126892</v>
      </c>
      <c r="H106" s="32">
        <f t="shared" si="58"/>
        <v>-0.3278456984570189</v>
      </c>
      <c r="I106" s="32">
        <f t="shared" si="58"/>
        <v>-0.4425796501319153</v>
      </c>
      <c r="J106" s="32">
        <f t="shared" si="58"/>
        <v>-0.510222311369368</v>
      </c>
      <c r="K106" s="32">
        <f t="shared" si="58"/>
        <v>-0.5298081114184738</v>
      </c>
      <c r="L106" s="32">
        <f t="shared" si="58"/>
        <v>-0.5098583480065728</v>
      </c>
      <c r="M106" s="32">
        <f t="shared" si="58"/>
        <v>-0.45967598044029157</v>
      </c>
      <c r="N106" s="32">
        <f t="shared" si="58"/>
        <v>-0.3858449234557763</v>
      </c>
      <c r="O106" s="32">
        <f t="shared" si="58"/>
        <v>-0.29486816498780133</v>
      </c>
      <c r="P106" s="32">
        <f t="shared" si="58"/>
        <v>-0.19436536103605737</v>
      </c>
      <c r="Q106" s="32">
        <f t="shared" si="58"/>
        <v>-0.09199806599749823</v>
      </c>
      <c r="R106" s="32">
        <f t="shared" si="58"/>
        <v>0.006090722591556065</v>
      </c>
      <c r="S106" s="32">
        <f t="shared" si="58"/>
        <v>0.09648160283575549</v>
      </c>
      <c r="T106" s="32">
        <f t="shared" si="58"/>
        <v>0.17907175128333067</v>
      </c>
      <c r="U106" s="32">
        <f t="shared" si="58"/>
        <v>0.25676887700973616</v>
      </c>
      <c r="V106" s="32">
        <f t="shared" si="58"/>
        <v>0.33344773306844094</v>
      </c>
      <c r="W106" s="32">
        <f t="shared" si="58"/>
        <v>0.40924140470935394</v>
      </c>
      <c r="X106" s="32">
        <f t="shared" si="58"/>
        <v>0.475143100458939</v>
      </c>
      <c r="Y106" s="32">
        <f t="shared" si="58"/>
        <v>0.5131842753868083</v>
      </c>
      <c r="Z106" s="32">
        <f t="shared" si="58"/>
        <v>0.5047979202784985</v>
      </c>
    </row>
    <row r="107" spans="1:26" ht="12.75">
      <c r="A107" s="15" t="s">
        <v>81</v>
      </c>
      <c r="B107" s="32">
        <f aca="true" t="shared" si="59" ref="B107:Z107">-B24*B104-B26*B106</f>
        <v>-0.5</v>
      </c>
      <c r="C107" s="32">
        <f t="shared" si="59"/>
        <v>-0.48679485040986825</v>
      </c>
      <c r="D107" s="32">
        <f t="shared" si="59"/>
        <v>-0.38634313148523547</v>
      </c>
      <c r="E107" s="32">
        <f t="shared" si="59"/>
        <v>-0.21198211908958545</v>
      </c>
      <c r="F107" s="32">
        <f t="shared" si="59"/>
        <v>0.008255824302800259</v>
      </c>
      <c r="G107" s="32">
        <f t="shared" si="59"/>
        <v>0.2380101083560165</v>
      </c>
      <c r="H107" s="32">
        <f t="shared" si="59"/>
        <v>0.4367362500130296</v>
      </c>
      <c r="I107" s="32">
        <f t="shared" si="59"/>
        <v>0.5603161796339783</v>
      </c>
      <c r="J107" s="32">
        <f t="shared" si="59"/>
        <v>0.5839535795419727</v>
      </c>
      <c r="K107" s="32">
        <f t="shared" si="59"/>
        <v>0.5297542785426754</v>
      </c>
      <c r="L107" s="32">
        <f t="shared" si="59"/>
        <v>0.4439686610547517</v>
      </c>
      <c r="M107" s="32">
        <f t="shared" si="59"/>
        <v>0.3510577123667361</v>
      </c>
      <c r="N107" s="32">
        <f t="shared" si="59"/>
        <v>0.25623144500722383</v>
      </c>
      <c r="O107" s="32">
        <f t="shared" si="59"/>
        <v>0.16419350259751492</v>
      </c>
      <c r="P107" s="32">
        <f t="shared" si="59"/>
        <v>0.08213311383202493</v>
      </c>
      <c r="Q107" s="32">
        <f t="shared" si="59"/>
        <v>0.016062750350732458</v>
      </c>
      <c r="R107" s="32">
        <f t="shared" si="59"/>
        <v>-0.031878091476146043</v>
      </c>
      <c r="S107" s="32">
        <f t="shared" si="59"/>
        <v>-0.06432204644294255</v>
      </c>
      <c r="T107" s="32">
        <f t="shared" si="59"/>
        <v>-0.08892526604614426</v>
      </c>
      <c r="U107" s="32">
        <f t="shared" si="59"/>
        <v>-0.11890577413679379</v>
      </c>
      <c r="V107" s="32">
        <f t="shared" si="59"/>
        <v>-0.1721567574936164</v>
      </c>
      <c r="W107" s="32">
        <f t="shared" si="59"/>
        <v>-0.2637216939007199</v>
      </c>
      <c r="X107" s="32">
        <f t="shared" si="59"/>
        <v>-0.38995339343683916</v>
      </c>
      <c r="Y107" s="32">
        <f t="shared" si="59"/>
        <v>-0.5167938586870829</v>
      </c>
      <c r="Z107" s="32">
        <f t="shared" si="59"/>
        <v>-0.5905115239091325</v>
      </c>
    </row>
    <row r="108" spans="1:26" ht="12.75">
      <c r="A108" s="15" t="s">
        <v>82</v>
      </c>
      <c r="B108" s="47">
        <f aca="true" t="shared" si="60" ref="B108:Z108">B24*B103-B104*(B26)^2</f>
        <v>-0.3</v>
      </c>
      <c r="C108" s="47">
        <f t="shared" si="60"/>
        <v>-0.3404055526217988</v>
      </c>
      <c r="D108" s="47">
        <f t="shared" si="60"/>
        <v>-0.5220457818730687</v>
      </c>
      <c r="E108" s="47">
        <f t="shared" si="60"/>
        <v>-0.6595054787349358</v>
      </c>
      <c r="F108" s="47">
        <f t="shared" si="60"/>
        <v>-0.7162031997632928</v>
      </c>
      <c r="G108" s="47">
        <f t="shared" si="60"/>
        <v>-0.6789880206292707</v>
      </c>
      <c r="H108" s="47">
        <f t="shared" si="60"/>
        <v>-0.5500505317455602</v>
      </c>
      <c r="I108" s="47">
        <f t="shared" si="60"/>
        <v>-0.3555935716648776</v>
      </c>
      <c r="J108" s="47">
        <f t="shared" si="60"/>
        <v>-0.1514044012792991</v>
      </c>
      <c r="K108" s="47">
        <f t="shared" si="60"/>
        <v>0.010140615297687755</v>
      </c>
      <c r="L108" s="47">
        <f t="shared" si="60"/>
        <v>0.12130681191206069</v>
      </c>
      <c r="M108" s="47">
        <f t="shared" si="60"/>
        <v>0.19821288786601685</v>
      </c>
      <c r="N108" s="47">
        <f t="shared" si="60"/>
        <v>0.24785350745785284</v>
      </c>
      <c r="O108" s="47">
        <f t="shared" si="60"/>
        <v>0.27051526381152474</v>
      </c>
      <c r="P108" s="47">
        <f t="shared" si="60"/>
        <v>0.26896129427477067</v>
      </c>
      <c r="Q108" s="47">
        <f t="shared" si="60"/>
        <v>0.2503340696412083</v>
      </c>
      <c r="R108" s="47">
        <f t="shared" si="60"/>
        <v>0.2243749860185464</v>
      </c>
      <c r="S108" s="47">
        <f t="shared" si="60"/>
        <v>0.20111867123616217</v>
      </c>
      <c r="T108" s="47">
        <f t="shared" si="60"/>
        <v>0.18892651407477748</v>
      </c>
      <c r="U108" s="47">
        <f t="shared" si="60"/>
        <v>0.191765623783393</v>
      </c>
      <c r="V108" s="47">
        <f t="shared" si="60"/>
        <v>0.2038278837647589</v>
      </c>
      <c r="W108" s="47">
        <f t="shared" si="60"/>
        <v>0.20338099965389705</v>
      </c>
      <c r="X108" s="47">
        <f t="shared" si="60"/>
        <v>0.1552800066366404</v>
      </c>
      <c r="Y108" s="47">
        <f t="shared" si="60"/>
        <v>0.029994570969705564</v>
      </c>
      <c r="Z108" s="47">
        <f t="shared" si="60"/>
        <v>-0.17100238959076633</v>
      </c>
    </row>
    <row r="109" spans="2:26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>
      <c r="A110" s="15" t="s">
        <v>83</v>
      </c>
      <c r="B110" s="47">
        <f>$K$5*B107</f>
        <v>-0.5</v>
      </c>
      <c r="C110" s="47">
        <f aca="true" t="shared" si="61" ref="C110:Z110">$K$5*C107</f>
        <v>-0.48679485040986825</v>
      </c>
      <c r="D110" s="47">
        <f t="shared" si="61"/>
        <v>-0.38634313148523547</v>
      </c>
      <c r="E110" s="47">
        <f t="shared" si="61"/>
        <v>-0.21198211908958545</v>
      </c>
      <c r="F110" s="47">
        <f t="shared" si="61"/>
        <v>0.008255824302800259</v>
      </c>
      <c r="G110" s="47">
        <f t="shared" si="61"/>
        <v>0.2380101083560165</v>
      </c>
      <c r="H110" s="47">
        <f t="shared" si="61"/>
        <v>0.4367362500130296</v>
      </c>
      <c r="I110" s="47">
        <f t="shared" si="61"/>
        <v>0.5603161796339783</v>
      </c>
      <c r="J110" s="47">
        <f t="shared" si="61"/>
        <v>0.5839535795419727</v>
      </c>
      <c r="K110" s="47">
        <f t="shared" si="61"/>
        <v>0.5297542785426754</v>
      </c>
      <c r="L110" s="47">
        <f t="shared" si="61"/>
        <v>0.4439686610547517</v>
      </c>
      <c r="M110" s="47">
        <f t="shared" si="61"/>
        <v>0.3510577123667361</v>
      </c>
      <c r="N110" s="47">
        <f t="shared" si="61"/>
        <v>0.25623144500722383</v>
      </c>
      <c r="O110" s="47">
        <f t="shared" si="61"/>
        <v>0.16419350259751492</v>
      </c>
      <c r="P110" s="47">
        <f t="shared" si="61"/>
        <v>0.08213311383202493</v>
      </c>
      <c r="Q110" s="47">
        <f t="shared" si="61"/>
        <v>0.016062750350732458</v>
      </c>
      <c r="R110" s="47">
        <f t="shared" si="61"/>
        <v>-0.031878091476146043</v>
      </c>
      <c r="S110" s="47">
        <f t="shared" si="61"/>
        <v>-0.06432204644294255</v>
      </c>
      <c r="T110" s="47">
        <f t="shared" si="61"/>
        <v>-0.08892526604614426</v>
      </c>
      <c r="U110" s="47">
        <f t="shared" si="61"/>
        <v>-0.11890577413679379</v>
      </c>
      <c r="V110" s="47">
        <f t="shared" si="61"/>
        <v>-0.1721567574936164</v>
      </c>
      <c r="W110" s="47">
        <f t="shared" si="61"/>
        <v>-0.2637216939007199</v>
      </c>
      <c r="X110" s="47">
        <f t="shared" si="61"/>
        <v>-0.38995339343683916</v>
      </c>
      <c r="Y110" s="47">
        <f t="shared" si="61"/>
        <v>-0.5167938586870829</v>
      </c>
      <c r="Z110" s="47">
        <f t="shared" si="61"/>
        <v>-0.5905115239091325</v>
      </c>
    </row>
    <row r="111" spans="1:26" ht="12.75">
      <c r="A111" s="15" t="s">
        <v>84</v>
      </c>
      <c r="B111" s="20">
        <f>$K$5*B108</f>
        <v>-0.3</v>
      </c>
      <c r="C111" s="20">
        <f aca="true" t="shared" si="62" ref="C111:Z111">$K$5*C108</f>
        <v>-0.3404055526217988</v>
      </c>
      <c r="D111" s="20">
        <f t="shared" si="62"/>
        <v>-0.5220457818730687</v>
      </c>
      <c r="E111" s="20">
        <f t="shared" si="62"/>
        <v>-0.6595054787349358</v>
      </c>
      <c r="F111" s="20">
        <f t="shared" si="62"/>
        <v>-0.7162031997632928</v>
      </c>
      <c r="G111" s="20">
        <f t="shared" si="62"/>
        <v>-0.6789880206292707</v>
      </c>
      <c r="H111" s="20">
        <f t="shared" si="62"/>
        <v>-0.5500505317455602</v>
      </c>
      <c r="I111" s="20">
        <f t="shared" si="62"/>
        <v>-0.3555935716648776</v>
      </c>
      <c r="J111" s="20">
        <f t="shared" si="62"/>
        <v>-0.1514044012792991</v>
      </c>
      <c r="K111" s="20">
        <f t="shared" si="62"/>
        <v>0.010140615297687755</v>
      </c>
      <c r="L111" s="20">
        <f t="shared" si="62"/>
        <v>0.12130681191206069</v>
      </c>
      <c r="M111" s="20">
        <f t="shared" si="62"/>
        <v>0.19821288786601685</v>
      </c>
      <c r="N111" s="20">
        <f t="shared" si="62"/>
        <v>0.24785350745785284</v>
      </c>
      <c r="O111" s="20">
        <f t="shared" si="62"/>
        <v>0.27051526381152474</v>
      </c>
      <c r="P111" s="20">
        <f t="shared" si="62"/>
        <v>0.26896129427477067</v>
      </c>
      <c r="Q111" s="20">
        <f t="shared" si="62"/>
        <v>0.2503340696412083</v>
      </c>
      <c r="R111" s="20">
        <f t="shared" si="62"/>
        <v>0.2243749860185464</v>
      </c>
      <c r="S111" s="20">
        <f t="shared" si="62"/>
        <v>0.20111867123616217</v>
      </c>
      <c r="T111" s="20">
        <f t="shared" si="62"/>
        <v>0.18892651407477748</v>
      </c>
      <c r="U111" s="20">
        <f t="shared" si="62"/>
        <v>0.191765623783393</v>
      </c>
      <c r="V111" s="20">
        <f t="shared" si="62"/>
        <v>0.2038278837647589</v>
      </c>
      <c r="W111" s="20">
        <f t="shared" si="62"/>
        <v>0.20338099965389705</v>
      </c>
      <c r="X111" s="20">
        <f t="shared" si="62"/>
        <v>0.1552800066366404</v>
      </c>
      <c r="Y111" s="20">
        <f t="shared" si="62"/>
        <v>0.029994570969705564</v>
      </c>
      <c r="Z111" s="20">
        <f t="shared" si="62"/>
        <v>-0.17100238959076633</v>
      </c>
    </row>
    <row r="112" spans="1:26" ht="12.75">
      <c r="A112" s="15" t="s">
        <v>85</v>
      </c>
      <c r="B112" s="20">
        <f>$M$5*B24</f>
        <v>0</v>
      </c>
      <c r="C112" s="20">
        <f aca="true" t="shared" si="63" ref="C112:Z112">$M$5*C24</f>
        <v>0.19437052730861726</v>
      </c>
      <c r="D112" s="20">
        <f t="shared" si="63"/>
        <v>0.14475025166214464</v>
      </c>
      <c r="E112" s="20">
        <f t="shared" si="63"/>
        <v>0.078373634912357</v>
      </c>
      <c r="F112" s="20">
        <f t="shared" si="63"/>
        <v>0.006502938841375001</v>
      </c>
      <c r="G112" s="20">
        <f t="shared" si="63"/>
        <v>-0.07218357672926622</v>
      </c>
      <c r="H112" s="20">
        <f t="shared" si="63"/>
        <v>-0.15692048671425526</v>
      </c>
      <c r="I112" s="20">
        <f t="shared" si="63"/>
        <v>-0.22954554745894748</v>
      </c>
      <c r="J112" s="20">
        <f t="shared" si="63"/>
        <v>-0.25905636082408234</v>
      </c>
      <c r="K112" s="20">
        <f t="shared" si="63"/>
        <v>-0.2372204906410051</v>
      </c>
      <c r="L112" s="20">
        <f t="shared" si="63"/>
        <v>-0.19520334043293025</v>
      </c>
      <c r="M112" s="20">
        <f t="shared" si="63"/>
        <v>-0.1612392721568562</v>
      </c>
      <c r="N112" s="20">
        <f t="shared" si="63"/>
        <v>-0.13840388301988005</v>
      </c>
      <c r="O112" s="20">
        <f t="shared" si="63"/>
        <v>-0.1200490088334287</v>
      </c>
      <c r="P112" s="20">
        <f t="shared" si="63"/>
        <v>-0.1007275741705562</v>
      </c>
      <c r="Q112" s="20">
        <f t="shared" si="63"/>
        <v>-0.07740035259722682</v>
      </c>
      <c r="R112" s="20">
        <f t="shared" si="63"/>
        <v>-0.04819043349282339</v>
      </c>
      <c r="S112" s="20">
        <f t="shared" si="63"/>
        <v>-0.01119544039221493</v>
      </c>
      <c r="T112" s="20">
        <f t="shared" si="63"/>
        <v>0.03592741529223851</v>
      </c>
      <c r="U112" s="20">
        <f t="shared" si="63"/>
        <v>0.09467986178401079</v>
      </c>
      <c r="V112" s="20">
        <f t="shared" si="63"/>
        <v>0.16232488075261375</v>
      </c>
      <c r="W112" s="20">
        <f t="shared" si="63"/>
        <v>0.2286876105740445</v>
      </c>
      <c r="X112" s="20">
        <f t="shared" si="63"/>
        <v>0.2775139157715734</v>
      </c>
      <c r="Y112" s="20">
        <f t="shared" si="63"/>
        <v>0.29321332123809785</v>
      </c>
      <c r="Z112" s="20">
        <f t="shared" si="63"/>
        <v>0.26956547758046034</v>
      </c>
    </row>
    <row r="113" spans="2:26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>
      <c r="A114" s="15" t="s">
        <v>86</v>
      </c>
      <c r="B114" s="20">
        <f>B110*B105+B111*B106+B112*B26</f>
        <v>0</v>
      </c>
      <c r="C114" s="20">
        <f aca="true" t="shared" si="64" ref="C114:Z114">C110*C105+C111*C106+C112*C26</f>
        <v>0.26045650659354713</v>
      </c>
      <c r="D114" s="20">
        <f t="shared" si="64"/>
        <v>0.2038354738752578</v>
      </c>
      <c r="E114" s="20">
        <f t="shared" si="64"/>
        <v>0.11434457526203612</v>
      </c>
      <c r="F114" s="20">
        <f t="shared" si="64"/>
        <v>0.009657711996699667</v>
      </c>
      <c r="G114" s="20">
        <f t="shared" si="64"/>
        <v>-0.10735326723057026</v>
      </c>
      <c r="H114" s="20">
        <f t="shared" si="64"/>
        <v>-0.22979082267509174</v>
      </c>
      <c r="I114" s="20">
        <f t="shared" si="64"/>
        <v>-0.3247558827107222</v>
      </c>
      <c r="J114" s="20">
        <f t="shared" si="64"/>
        <v>-0.347417892196923</v>
      </c>
      <c r="K114" s="20">
        <f t="shared" si="64"/>
        <v>-0.29771492839455893</v>
      </c>
      <c r="L114" s="20">
        <f t="shared" si="64"/>
        <v>-0.2287512950512747</v>
      </c>
      <c r="M114" s="20">
        <f t="shared" si="64"/>
        <v>-0.17716081195184596</v>
      </c>
      <c r="N114" s="20">
        <f t="shared" si="64"/>
        <v>-0.14311852754143142</v>
      </c>
      <c r="O114" s="20">
        <f t="shared" si="64"/>
        <v>-0.11702973747288517</v>
      </c>
      <c r="P114" s="20">
        <f t="shared" si="64"/>
        <v>-0.09269709307506324</v>
      </c>
      <c r="Q114" s="20">
        <f t="shared" si="64"/>
        <v>-0.06747011295986712</v>
      </c>
      <c r="R114" s="20">
        <f t="shared" si="64"/>
        <v>-0.04010243744276358</v>
      </c>
      <c r="S114" s="20">
        <f t="shared" si="64"/>
        <v>-0.009025518626604438</v>
      </c>
      <c r="T114" s="20">
        <f t="shared" si="64"/>
        <v>0.028736680450408843</v>
      </c>
      <c r="U114" s="20">
        <f t="shared" si="64"/>
        <v>0.07771354306351998</v>
      </c>
      <c r="V114" s="20">
        <f t="shared" si="64"/>
        <v>0.1422693465009663</v>
      </c>
      <c r="W114" s="20">
        <f t="shared" si="64"/>
        <v>0.22169301650139467</v>
      </c>
      <c r="X114" s="20">
        <f t="shared" si="64"/>
        <v>0.3030651328679644</v>
      </c>
      <c r="Y114" s="20">
        <f t="shared" si="64"/>
        <v>0.3596682151661814</v>
      </c>
      <c r="Z114" s="20">
        <f t="shared" si="64"/>
        <v>0.3646839277968107</v>
      </c>
    </row>
    <row r="115" spans="1:26" ht="12.75">
      <c r="A115" s="15" t="s">
        <v>87</v>
      </c>
      <c r="B115" s="20">
        <f>$L$5*B106</f>
        <v>4.905</v>
      </c>
      <c r="C115" s="20">
        <f aca="true" t="shared" si="65" ref="C115:Z115">$L$5*C106</f>
        <v>3.976161728211162</v>
      </c>
      <c r="D115" s="20">
        <f t="shared" si="65"/>
        <v>2.9176324221658243</v>
      </c>
      <c r="E115" s="20">
        <f t="shared" si="65"/>
        <v>1.5105140978821532</v>
      </c>
      <c r="F115" s="20">
        <f t="shared" si="65"/>
        <v>-0.10663320689936512</v>
      </c>
      <c r="G115" s="20">
        <f t="shared" si="65"/>
        <v>-1.7460609554662483</v>
      </c>
      <c r="H115" s="20">
        <f t="shared" si="65"/>
        <v>-3.2161663018633555</v>
      </c>
      <c r="I115" s="20">
        <f t="shared" si="65"/>
        <v>-4.34170636779409</v>
      </c>
      <c r="J115" s="20">
        <f t="shared" si="65"/>
        <v>-5.005280874533501</v>
      </c>
      <c r="K115" s="20">
        <f t="shared" si="65"/>
        <v>-5.197417573015229</v>
      </c>
      <c r="L115" s="20">
        <f t="shared" si="65"/>
        <v>-5.00171039394448</v>
      </c>
      <c r="M115" s="20">
        <f t="shared" si="65"/>
        <v>-4.50942136811926</v>
      </c>
      <c r="N115" s="20">
        <f t="shared" si="65"/>
        <v>-3.7851386991011657</v>
      </c>
      <c r="O115" s="20">
        <f t="shared" si="65"/>
        <v>-2.892656698530331</v>
      </c>
      <c r="P115" s="20">
        <f t="shared" si="65"/>
        <v>-1.9067241917637228</v>
      </c>
      <c r="Q115" s="20">
        <f t="shared" si="65"/>
        <v>-0.9025010274354577</v>
      </c>
      <c r="R115" s="20">
        <f t="shared" si="65"/>
        <v>0.059749988623165</v>
      </c>
      <c r="S115" s="20">
        <f t="shared" si="65"/>
        <v>0.9464845238187615</v>
      </c>
      <c r="T115" s="20">
        <f t="shared" si="65"/>
        <v>1.756693880089474</v>
      </c>
      <c r="U115" s="20">
        <f t="shared" si="65"/>
        <v>2.518902683465512</v>
      </c>
      <c r="V115" s="20">
        <f t="shared" si="65"/>
        <v>3.271122261401406</v>
      </c>
      <c r="W115" s="20">
        <f t="shared" si="65"/>
        <v>4.014658180198762</v>
      </c>
      <c r="X115" s="20">
        <f t="shared" si="65"/>
        <v>4.661153815502192</v>
      </c>
      <c r="Y115" s="20">
        <f t="shared" si="65"/>
        <v>5.03433774154459</v>
      </c>
      <c r="Z115" s="20">
        <f t="shared" si="65"/>
        <v>4.9520675979320705</v>
      </c>
    </row>
    <row r="116" spans="1:26" ht="12.75">
      <c r="A116" s="15" t="s">
        <v>88</v>
      </c>
      <c r="B116" s="20">
        <f>B114+B115</f>
        <v>4.905</v>
      </c>
      <c r="C116" s="20">
        <f aca="true" t="shared" si="66" ref="C116:Z116">C114+C115</f>
        <v>4.236618234804709</v>
      </c>
      <c r="D116" s="20">
        <f t="shared" si="66"/>
        <v>3.121467896041082</v>
      </c>
      <c r="E116" s="20">
        <f t="shared" si="66"/>
        <v>1.6248586731441894</v>
      </c>
      <c r="F116" s="20">
        <f t="shared" si="66"/>
        <v>-0.09697549490266545</v>
      </c>
      <c r="G116" s="20">
        <f t="shared" si="66"/>
        <v>-1.8534142226968187</v>
      </c>
      <c r="H116" s="20">
        <f t="shared" si="66"/>
        <v>-3.445957124538447</v>
      </c>
      <c r="I116" s="20">
        <f t="shared" si="66"/>
        <v>-4.666462250504812</v>
      </c>
      <c r="J116" s="20">
        <f t="shared" si="66"/>
        <v>-5.352698766730423</v>
      </c>
      <c r="K116" s="20">
        <f t="shared" si="66"/>
        <v>-5.495132501409787</v>
      </c>
      <c r="L116" s="20">
        <f t="shared" si="66"/>
        <v>-5.230461688995755</v>
      </c>
      <c r="M116" s="20">
        <f t="shared" si="66"/>
        <v>-4.686582180071106</v>
      </c>
      <c r="N116" s="20">
        <f t="shared" si="66"/>
        <v>-3.928257226642597</v>
      </c>
      <c r="O116" s="20">
        <f t="shared" si="66"/>
        <v>-3.009686436003216</v>
      </c>
      <c r="P116" s="20">
        <f t="shared" si="66"/>
        <v>-1.999421284838786</v>
      </c>
      <c r="Q116" s="20">
        <f t="shared" si="66"/>
        <v>-0.9699711403953248</v>
      </c>
      <c r="R116" s="20">
        <f t="shared" si="66"/>
        <v>0.019647551180401422</v>
      </c>
      <c r="S116" s="20">
        <f t="shared" si="66"/>
        <v>0.9374590051921571</v>
      </c>
      <c r="T116" s="20">
        <f t="shared" si="66"/>
        <v>1.7854305605398828</v>
      </c>
      <c r="U116" s="20">
        <f t="shared" si="66"/>
        <v>2.596616226529032</v>
      </c>
      <c r="V116" s="20">
        <f t="shared" si="66"/>
        <v>3.4133916079023723</v>
      </c>
      <c r="W116" s="20">
        <f t="shared" si="66"/>
        <v>4.2363511967001575</v>
      </c>
      <c r="X116" s="20">
        <f t="shared" si="66"/>
        <v>4.964218948370156</v>
      </c>
      <c r="Y116" s="20">
        <f t="shared" si="66"/>
        <v>5.394005956710771</v>
      </c>
      <c r="Z116" s="20">
        <f t="shared" si="66"/>
        <v>5.316751525728881</v>
      </c>
    </row>
    <row r="117" spans="1:26" ht="12.75">
      <c r="A117" s="15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>
      <c r="A118" s="15" t="s">
        <v>89</v>
      </c>
      <c r="B118" s="20">
        <f aca="true" t="shared" si="67" ref="B118:Z118">((B105^2+B106^2)*$K$5+$M$5*B26^2)/2</f>
        <v>0.6699999999999999</v>
      </c>
      <c r="C118" s="20">
        <f t="shared" si="67"/>
        <v>0.67</v>
      </c>
      <c r="D118" s="20">
        <f t="shared" si="67"/>
        <v>0.7399222477215269</v>
      </c>
      <c r="E118" s="20">
        <f t="shared" si="67"/>
        <v>0.794248417555102</v>
      </c>
      <c r="F118" s="20">
        <f t="shared" si="67"/>
        <v>0.8229896377602859</v>
      </c>
      <c r="G118" s="20">
        <f t="shared" si="67"/>
        <v>0.8253134891474875</v>
      </c>
      <c r="H118" s="20">
        <f t="shared" si="67"/>
        <v>0.8001497481981812</v>
      </c>
      <c r="I118" s="20">
        <f t="shared" si="67"/>
        <v>0.7468639776349579</v>
      </c>
      <c r="J118" s="20">
        <f t="shared" si="67"/>
        <v>0.6710904327329489</v>
      </c>
      <c r="K118" s="20">
        <f t="shared" si="67"/>
        <v>0.5877085793738209</v>
      </c>
      <c r="L118" s="20">
        <f t="shared" si="67"/>
        <v>0.5124102850761117</v>
      </c>
      <c r="M118" s="20">
        <f t="shared" si="67"/>
        <v>0.45046273771523837</v>
      </c>
      <c r="N118" s="20">
        <f t="shared" si="67"/>
        <v>0.3989884972836718</v>
      </c>
      <c r="O118" s="20">
        <f t="shared" si="67"/>
        <v>0.3546014524414676</v>
      </c>
      <c r="P118" s="20">
        <f t="shared" si="67"/>
        <v>0.3160098984950665</v>
      </c>
      <c r="Q118" s="20">
        <f t="shared" si="67"/>
        <v>0.2835320789338819</v>
      </c>
      <c r="R118" s="20">
        <f t="shared" si="67"/>
        <v>0.25839557971532207</v>
      </c>
      <c r="S118" s="20">
        <f t="shared" si="67"/>
        <v>0.24250861743344343</v>
      </c>
      <c r="T118" s="20">
        <f t="shared" si="67"/>
        <v>0.23871870791272193</v>
      </c>
      <c r="U118" s="20">
        <f t="shared" si="67"/>
        <v>0.25138733524776613</v>
      </c>
      <c r="V118" s="20">
        <f t="shared" si="67"/>
        <v>0.28662739341364224</v>
      </c>
      <c r="W118" s="20">
        <f t="shared" si="67"/>
        <v>0.35065816659401594</v>
      </c>
      <c r="X118" s="20">
        <f t="shared" si="67"/>
        <v>0.4450078006174325</v>
      </c>
      <c r="Y118" s="20">
        <f t="shared" si="67"/>
        <v>0.561438164456986</v>
      </c>
      <c r="Z118" s="20">
        <f t="shared" si="67"/>
        <v>0.6829201200508925</v>
      </c>
    </row>
    <row r="119" spans="1:26" ht="12.75">
      <c r="A119" s="15" t="s">
        <v>90</v>
      </c>
      <c r="B119" s="20">
        <f>$L$5*(B104-$J$5)</f>
        <v>0</v>
      </c>
      <c r="C119" s="20">
        <f aca="true" t="shared" si="68" ref="C119:Z119">$L$5*(C104-$J$5)</f>
        <v>1.1692271229965925</v>
      </c>
      <c r="D119" s="20">
        <f t="shared" si="68"/>
        <v>2.0582127633376035</v>
      </c>
      <c r="E119" s="20">
        <f t="shared" si="68"/>
        <v>2.606374018752025</v>
      </c>
      <c r="F119" s="20">
        <f t="shared" si="68"/>
        <v>2.776354605562672</v>
      </c>
      <c r="G119" s="20">
        <f t="shared" si="68"/>
        <v>2.5565706276845983</v>
      </c>
      <c r="H119" s="20">
        <f t="shared" si="68"/>
        <v>1.9620000000000002</v>
      </c>
      <c r="I119" s="20">
        <f t="shared" si="68"/>
        <v>1.0331617282111623</v>
      </c>
      <c r="J119" s="20">
        <f t="shared" si="68"/>
        <v>-0.1666453944373299</v>
      </c>
      <c r="K119" s="20">
        <f t="shared" si="68"/>
        <v>-1.555656495311996</v>
      </c>
      <c r="L119" s="20">
        <f t="shared" si="68"/>
        <v>-3.039212763337604</v>
      </c>
      <c r="M119" s="20">
        <f t="shared" si="68"/>
        <v>-4.516212290540865</v>
      </c>
      <c r="N119" s="20">
        <f t="shared" si="68"/>
        <v>-5.886000000000001</v>
      </c>
      <c r="O119" s="20">
        <f t="shared" si="68"/>
        <v>-7.055227122996593</v>
      </c>
      <c r="P119" s="20">
        <f t="shared" si="68"/>
        <v>-7.944212763337603</v>
      </c>
      <c r="Q119" s="20">
        <f t="shared" si="68"/>
        <v>-8.492374018752026</v>
      </c>
      <c r="R119" s="20">
        <f t="shared" si="68"/>
        <v>-8.662354605562673</v>
      </c>
      <c r="S119" s="20">
        <f t="shared" si="68"/>
        <v>-8.4425706276846</v>
      </c>
      <c r="T119" s="20">
        <f t="shared" si="68"/>
        <v>-7.848000000000001</v>
      </c>
      <c r="U119" s="20">
        <f t="shared" si="68"/>
        <v>-6.91916172821116</v>
      </c>
      <c r="V119" s="20">
        <f t="shared" si="68"/>
        <v>-5.719354605562672</v>
      </c>
      <c r="W119" s="20">
        <f t="shared" si="68"/>
        <v>-4.330343504688007</v>
      </c>
      <c r="X119" s="20">
        <f t="shared" si="68"/>
        <v>-2.846787236662395</v>
      </c>
      <c r="Y119" s="20">
        <f t="shared" si="68"/>
        <v>-1.3697877094591357</v>
      </c>
      <c r="Z119" s="20">
        <f t="shared" si="68"/>
        <v>-1.0891287871572786E-15</v>
      </c>
    </row>
    <row r="120" spans="1:26" ht="12.75">
      <c r="A120" s="15" t="s">
        <v>91</v>
      </c>
      <c r="B120" s="20">
        <f>B118+B119</f>
        <v>0.6699999999999999</v>
      </c>
      <c r="C120" s="20">
        <f aca="true" t="shared" si="69" ref="C120:Z120">C118+C119</f>
        <v>1.8392271229965926</v>
      </c>
      <c r="D120" s="20">
        <f t="shared" si="69"/>
        <v>2.7981350110591303</v>
      </c>
      <c r="E120" s="20">
        <f t="shared" si="69"/>
        <v>3.400622436307127</v>
      </c>
      <c r="F120" s="20">
        <f t="shared" si="69"/>
        <v>3.5993442433229577</v>
      </c>
      <c r="G120" s="20">
        <f t="shared" si="69"/>
        <v>3.3818841168320857</v>
      </c>
      <c r="H120" s="20">
        <f t="shared" si="69"/>
        <v>2.7621497481981816</v>
      </c>
      <c r="I120" s="20">
        <f t="shared" si="69"/>
        <v>1.7800257058461202</v>
      </c>
      <c r="J120" s="20">
        <f t="shared" si="69"/>
        <v>0.5044450382956189</v>
      </c>
      <c r="K120" s="20">
        <f t="shared" si="69"/>
        <v>-0.9679479159381751</v>
      </c>
      <c r="L120" s="20">
        <f t="shared" si="69"/>
        <v>-2.526802478261492</v>
      </c>
      <c r="M120" s="20">
        <f t="shared" si="69"/>
        <v>-4.0657495528256264</v>
      </c>
      <c r="N120" s="20">
        <f t="shared" si="69"/>
        <v>-5.487011502716329</v>
      </c>
      <c r="O120" s="20">
        <f t="shared" si="69"/>
        <v>-6.700625670555125</v>
      </c>
      <c r="P120" s="20">
        <f t="shared" si="69"/>
        <v>-7.628202864842537</v>
      </c>
      <c r="Q120" s="20">
        <f t="shared" si="69"/>
        <v>-8.208841939818143</v>
      </c>
      <c r="R120" s="20">
        <f t="shared" si="69"/>
        <v>-8.403959025847351</v>
      </c>
      <c r="S120" s="20">
        <f t="shared" si="69"/>
        <v>-8.200062010251155</v>
      </c>
      <c r="T120" s="20">
        <f t="shared" si="69"/>
        <v>-7.609281292087279</v>
      </c>
      <c r="U120" s="20">
        <f t="shared" si="69"/>
        <v>-6.667774392963394</v>
      </c>
      <c r="V120" s="20">
        <f t="shared" si="69"/>
        <v>-5.43272721214903</v>
      </c>
      <c r="W120" s="20">
        <f t="shared" si="69"/>
        <v>-3.979685338093991</v>
      </c>
      <c r="X120" s="20">
        <f t="shared" si="69"/>
        <v>-2.4017794360449622</v>
      </c>
      <c r="Y120" s="20">
        <f t="shared" si="69"/>
        <v>-0.8083495450021497</v>
      </c>
      <c r="Z120" s="20">
        <f t="shared" si="69"/>
        <v>0.6829201200508914</v>
      </c>
    </row>
    <row r="121" spans="2:26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3.5" thickBot="1"/>
    <row r="123" spans="1:26" ht="13.5" thickBot="1">
      <c r="A123" s="51" t="s">
        <v>125</v>
      </c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s="32" customFormat="1" ht="12.75">
      <c r="A124" s="15" t="s">
        <v>111</v>
      </c>
      <c r="B124" s="20">
        <f>B31+($I$6-$F$5)*COS(B53)-($J$6-$G$5)*SIN(B53)</f>
        <v>2.2</v>
      </c>
      <c r="C124" s="20">
        <f aca="true" t="shared" si="70" ref="C124:Z124">C31+($I$6-$F$5)*COS(C53)-($J$6-$G$5)*SIN(C53)</f>
        <v>2.1315503131807496</v>
      </c>
      <c r="D124" s="20">
        <f t="shared" si="70"/>
        <v>1.9862982970339584</v>
      </c>
      <c r="E124" s="20">
        <f t="shared" si="70"/>
        <v>1.7723497994998394</v>
      </c>
      <c r="F124" s="20">
        <f t="shared" si="70"/>
        <v>1.5044676038694629</v>
      </c>
      <c r="G124" s="20">
        <f t="shared" si="70"/>
        <v>1.2039568868919117</v>
      </c>
      <c r="H124" s="20">
        <f t="shared" si="70"/>
        <v>0.8976871958037902</v>
      </c>
      <c r="I124" s="20">
        <f t="shared" si="70"/>
        <v>0.6148742661686432</v>
      </c>
      <c r="J124" s="20">
        <f t="shared" si="70"/>
        <v>0.3805906934044192</v>
      </c>
      <c r="K124" s="20">
        <f t="shared" si="70"/>
        <v>0.20950687787044917</v>
      </c>
      <c r="L124" s="20">
        <f t="shared" si="70"/>
        <v>0.10599903390243434</v>
      </c>
      <c r="M124" s="20">
        <f t="shared" si="70"/>
        <v>0.06908025268603839</v>
      </c>
      <c r="N124" s="20">
        <f t="shared" si="70"/>
        <v>0.09596808000277975</v>
      </c>
      <c r="O124" s="20">
        <f t="shared" si="70"/>
        <v>0.1828289280859063</v>
      </c>
      <c r="P124" s="20">
        <f t="shared" si="70"/>
        <v>0.3243178068059777</v>
      </c>
      <c r="Q124" s="20">
        <f t="shared" si="70"/>
        <v>0.513057112820801</v>
      </c>
      <c r="R124" s="20">
        <f t="shared" si="70"/>
        <v>0.7393784607087476</v>
      </c>
      <c r="S124" s="20">
        <f t="shared" si="70"/>
        <v>0.991333009538681</v>
      </c>
      <c r="T124" s="20">
        <f t="shared" si="70"/>
        <v>1.2549251469742702</v>
      </c>
      <c r="U124" s="20">
        <f t="shared" si="70"/>
        <v>1.5145550192199613</v>
      </c>
      <c r="V124" s="20">
        <f t="shared" si="70"/>
        <v>1.7536914183669001</v>
      </c>
      <c r="W124" s="20">
        <f t="shared" si="70"/>
        <v>1.9558005798975382</v>
      </c>
      <c r="X124" s="20">
        <f t="shared" si="70"/>
        <v>2.1055136410073</v>
      </c>
      <c r="Y124" s="20">
        <f t="shared" si="70"/>
        <v>2.189943203080501</v>
      </c>
      <c r="Z124" s="20">
        <f t="shared" si="70"/>
        <v>2.2</v>
      </c>
    </row>
    <row r="125" spans="1:26" s="32" customFormat="1" ht="12.75">
      <c r="A125" s="15" t="s">
        <v>112</v>
      </c>
      <c r="B125" s="20">
        <f>B32+($I$6-$F$5)*SIN(B53)+($J$6-$G$5)*COS(B53)</f>
        <v>-0.3</v>
      </c>
      <c r="C125" s="20">
        <f aca="true" t="shared" si="71" ref="C125:Z125">C32+($I$6-$F$5)*SIN(C53)+($J$6-$G$5)*COS(C53)</f>
        <v>-0.13856807332058313</v>
      </c>
      <c r="D125" s="20">
        <f t="shared" si="71"/>
        <v>-0.0009122892693912421</v>
      </c>
      <c r="E125" s="20">
        <f t="shared" si="71"/>
        <v>0.10312330514710133</v>
      </c>
      <c r="F125" s="20">
        <f t="shared" si="71"/>
        <v>0.16649600212178334</v>
      </c>
      <c r="G125" s="20">
        <f t="shared" si="71"/>
        <v>0.1856746325603219</v>
      </c>
      <c r="H125" s="20">
        <f t="shared" si="71"/>
        <v>0.16100260004985206</v>
      </c>
      <c r="I125" s="20">
        <f t="shared" si="71"/>
        <v>0.0963162431595036</v>
      </c>
      <c r="J125" s="20">
        <f t="shared" si="71"/>
        <v>-0.0024783789483749374</v>
      </c>
      <c r="K125" s="20">
        <f t="shared" si="71"/>
        <v>-0.12898319815818282</v>
      </c>
      <c r="L125" s="20">
        <f t="shared" si="71"/>
        <v>-0.27645805271225177</v>
      </c>
      <c r="M125" s="20">
        <f t="shared" si="71"/>
        <v>-0.4369294574452832</v>
      </c>
      <c r="N125" s="20">
        <f t="shared" si="71"/>
        <v>-0.6008299617876367</v>
      </c>
      <c r="O125" s="20">
        <f t="shared" si="71"/>
        <v>-0.7575068705137771</v>
      </c>
      <c r="P125" s="20">
        <f t="shared" si="71"/>
        <v>-0.8961345533913514</v>
      </c>
      <c r="Q125" s="20">
        <f t="shared" si="71"/>
        <v>-1.0066808809736563</v>
      </c>
      <c r="R125" s="20">
        <f t="shared" si="71"/>
        <v>-1.08078742435467</v>
      </c>
      <c r="S125" s="20">
        <f t="shared" si="71"/>
        <v>-1.112506570189011</v>
      </c>
      <c r="T125" s="20">
        <f t="shared" si="71"/>
        <v>-1.0988567937389384</v>
      </c>
      <c r="U125" s="20">
        <f t="shared" si="71"/>
        <v>-1.0401578839475945</v>
      </c>
      <c r="V125" s="20">
        <f t="shared" si="71"/>
        <v>-0.9401099309800695</v>
      </c>
      <c r="W125" s="20">
        <f t="shared" si="71"/>
        <v>-0.8055922507069985</v>
      </c>
      <c r="X125" s="20">
        <f t="shared" si="71"/>
        <v>-0.6461840567021948</v>
      </c>
      <c r="Y125" s="20">
        <f t="shared" si="71"/>
        <v>-0.47344212689416176</v>
      </c>
      <c r="Z125" s="20">
        <f t="shared" si="71"/>
        <v>-0.30000000000000027</v>
      </c>
    </row>
    <row r="126" spans="1:26" s="32" customFormat="1" ht="12.75">
      <c r="A126" s="15" t="s">
        <v>113</v>
      </c>
      <c r="B126" s="55">
        <f>B33-B47*(B125-B32)</f>
        <v>-0.11065663631752526</v>
      </c>
      <c r="C126" s="55">
        <f aca="true" t="shared" si="72" ref="C126:Z126">C33-C47*(C125-C32)</f>
        <v>-0.41121121050994736</v>
      </c>
      <c r="D126" s="55">
        <f t="shared" si="72"/>
        <v>-0.7285671441849</v>
      </c>
      <c r="E126" s="55">
        <f t="shared" si="72"/>
        <v>-1.0144783197409633</v>
      </c>
      <c r="F126" s="55">
        <f t="shared" si="72"/>
        <v>-1.2203573589272998</v>
      </c>
      <c r="G126" s="55">
        <f t="shared" si="72"/>
        <v>-1.306693546386829</v>
      </c>
      <c r="H126" s="55">
        <f t="shared" si="72"/>
        <v>-1.2494708587465257</v>
      </c>
      <c r="I126" s="55">
        <f t="shared" si="72"/>
        <v>-1.0565851084149243</v>
      </c>
      <c r="J126" s="55">
        <f t="shared" si="72"/>
        <v>-0.7803806505352822</v>
      </c>
      <c r="K126" s="55">
        <f t="shared" si="72"/>
        <v>-0.49155719844373247</v>
      </c>
      <c r="L126" s="55">
        <f t="shared" si="72"/>
        <v>-0.23328518654605535</v>
      </c>
      <c r="M126" s="55">
        <f t="shared" si="72"/>
        <v>-0.01400496902855658</v>
      </c>
      <c r="N126" s="55">
        <f t="shared" si="72"/>
        <v>0.16983855459505598</v>
      </c>
      <c r="O126" s="55">
        <f t="shared" si="72"/>
        <v>0.3201827856549752</v>
      </c>
      <c r="P126" s="55">
        <f t="shared" si="72"/>
        <v>0.4368566378646112</v>
      </c>
      <c r="Q126" s="55">
        <f t="shared" si="72"/>
        <v>0.5201626674080545</v>
      </c>
      <c r="R126" s="55">
        <f t="shared" si="72"/>
        <v>0.5724189434732411</v>
      </c>
      <c r="S126" s="55">
        <f t="shared" si="72"/>
        <v>0.5980832193331115</v>
      </c>
      <c r="T126" s="55">
        <f t="shared" si="72"/>
        <v>0.602641885882109</v>
      </c>
      <c r="U126" s="55">
        <f t="shared" si="72"/>
        <v>0.590018624059608</v>
      </c>
      <c r="V126" s="55">
        <f t="shared" si="72"/>
        <v>0.557940031820606</v>
      </c>
      <c r="W126" s="55">
        <f t="shared" si="72"/>
        <v>0.49273544218800397</v>
      </c>
      <c r="X126" s="55">
        <f t="shared" si="72"/>
        <v>0.37027461948357143</v>
      </c>
      <c r="Y126" s="55">
        <f t="shared" si="72"/>
        <v>0.1691639801180236</v>
      </c>
      <c r="Z126" s="55">
        <f t="shared" si="72"/>
        <v>-0.11171847975620153</v>
      </c>
    </row>
    <row r="127" spans="1:26" s="32" customFormat="1" ht="12.75">
      <c r="A127" s="15" t="s">
        <v>114</v>
      </c>
      <c r="B127" s="55">
        <f>B34+B47*(B124-B31)</f>
        <v>0.6474822096736255</v>
      </c>
      <c r="C127" s="55">
        <f aca="true" t="shared" si="73" ref="C127:Z127">C34+C47*(C124-C31)</f>
        <v>0.5782137497219118</v>
      </c>
      <c r="D127" s="55">
        <f t="shared" si="73"/>
        <v>0.49084319842084784</v>
      </c>
      <c r="E127" s="55">
        <f t="shared" si="73"/>
        <v>0.3518591139883834</v>
      </c>
      <c r="F127" s="55">
        <f t="shared" si="73"/>
        <v>0.17587610973711165</v>
      </c>
      <c r="G127" s="55">
        <f t="shared" si="73"/>
        <v>-0.013248812164597612</v>
      </c>
      <c r="H127" s="55">
        <f t="shared" si="73"/>
        <v>-0.19015354063130227</v>
      </c>
      <c r="I127" s="55">
        <f t="shared" si="73"/>
        <v>-0.3339321141475111</v>
      </c>
      <c r="J127" s="55">
        <f t="shared" si="73"/>
        <v>-0.43472980398278643</v>
      </c>
      <c r="K127" s="55">
        <f t="shared" si="73"/>
        <v>-0.4943583042207722</v>
      </c>
      <c r="L127" s="55">
        <f t="shared" si="73"/>
        <v>-0.5192373789778876</v>
      </c>
      <c r="M127" s="55">
        <f t="shared" si="73"/>
        <v>-0.5133309878271397</v>
      </c>
      <c r="N127" s="55">
        <f t="shared" si="73"/>
        <v>-0.4778457411050884</v>
      </c>
      <c r="O127" s="55">
        <f t="shared" si="73"/>
        <v>-0.4152198274687188</v>
      </c>
      <c r="P127" s="55">
        <f t="shared" si="73"/>
        <v>-0.33091811790550635</v>
      </c>
      <c r="Q127" s="55">
        <f t="shared" si="73"/>
        <v>-0.23243116440067868</v>
      </c>
      <c r="R127" s="55">
        <f t="shared" si="73"/>
        <v>-0.12731652014638217</v>
      </c>
      <c r="S127" s="55">
        <f t="shared" si="73"/>
        <v>-0.021288203131376818</v>
      </c>
      <c r="T127" s="55">
        <f t="shared" si="73"/>
        <v>0.0832461445434014</v>
      </c>
      <c r="U127" s="55">
        <f t="shared" si="73"/>
        <v>0.18780194536674855</v>
      </c>
      <c r="V127" s="55">
        <f t="shared" si="73"/>
        <v>0.29649077693713644</v>
      </c>
      <c r="W127" s="55">
        <f t="shared" si="73"/>
        <v>0.4110535162259021</v>
      </c>
      <c r="X127" s="55">
        <f t="shared" si="73"/>
        <v>0.5233658632864611</v>
      </c>
      <c r="Y127" s="55">
        <f t="shared" si="73"/>
        <v>0.6127365637400272</v>
      </c>
      <c r="Z127" s="55">
        <f t="shared" si="73"/>
        <v>0.6536953457211456</v>
      </c>
    </row>
    <row r="128" spans="1:26" s="32" customFormat="1" ht="12.75">
      <c r="A128" s="15" t="s">
        <v>115</v>
      </c>
      <c r="B128" s="55">
        <f>B35-B51*(B125-B32)-B47*(B127-B34)</f>
        <v>-1.1525806768118259</v>
      </c>
      <c r="C128" s="55">
        <f aca="true" t="shared" si="74" ref="C128:Z128">C35-C51*(C125-C32)-C47*(C127-C34)</f>
        <v>-1.2083253505482747</v>
      </c>
      <c r="D128" s="55">
        <f t="shared" si="74"/>
        <v>-1.2162482818598308</v>
      </c>
      <c r="E128" s="55">
        <f t="shared" si="74"/>
        <v>-1.0154220005170385</v>
      </c>
      <c r="F128" s="55">
        <f t="shared" si="74"/>
        <v>-0.600658502327452</v>
      </c>
      <c r="G128" s="55">
        <f t="shared" si="74"/>
        <v>-0.022854714492831163</v>
      </c>
      <c r="H128" s="55">
        <f t="shared" si="74"/>
        <v>0.5939933512318821</v>
      </c>
      <c r="I128" s="55">
        <f t="shared" si="74"/>
        <v>1.0346123879314713</v>
      </c>
      <c r="J128" s="55">
        <f t="shared" si="74"/>
        <v>1.1390776181156281</v>
      </c>
      <c r="K128" s="55">
        <f t="shared" si="74"/>
        <v>0.994687763561363</v>
      </c>
      <c r="L128" s="55">
        <f t="shared" si="74"/>
        <v>0.7963734031193567</v>
      </c>
      <c r="M128" s="55">
        <f t="shared" si="74"/>
        <v>0.6294141013862912</v>
      </c>
      <c r="N128" s="55">
        <f t="shared" si="74"/>
        <v>0.4917206643847065</v>
      </c>
      <c r="O128" s="55">
        <f t="shared" si="74"/>
        <v>0.37033513078301217</v>
      </c>
      <c r="P128" s="55">
        <f t="shared" si="74"/>
        <v>0.26241951904036126</v>
      </c>
      <c r="Q128" s="55">
        <f t="shared" si="74"/>
        <v>0.171342612920464</v>
      </c>
      <c r="R128" s="55">
        <f t="shared" si="74"/>
        <v>0.1007900231089154</v>
      </c>
      <c r="S128" s="55">
        <f t="shared" si="74"/>
        <v>0.051047878315004944</v>
      </c>
      <c r="T128" s="55">
        <f t="shared" si="74"/>
        <v>0.016093678266576508</v>
      </c>
      <c r="U128" s="55">
        <f t="shared" si="74"/>
        <v>-0.020972869753649374</v>
      </c>
      <c r="V128" s="55">
        <f t="shared" si="74"/>
        <v>-0.09324064393855705</v>
      </c>
      <c r="W128" s="55">
        <f t="shared" si="74"/>
        <v>-0.24592249774970368</v>
      </c>
      <c r="X128" s="55">
        <f t="shared" si="74"/>
        <v>-0.5096439446493749</v>
      </c>
      <c r="Y128" s="55">
        <f t="shared" si="74"/>
        <v>-0.8601960972904881</v>
      </c>
      <c r="Z128" s="55">
        <f t="shared" si="74"/>
        <v>-1.2046359764442482</v>
      </c>
    </row>
    <row r="129" spans="1:26" s="32" customFormat="1" ht="12.75">
      <c r="A129" s="15" t="s">
        <v>116</v>
      </c>
      <c r="B129" s="55">
        <f>B36+B51*(B124-B31)+B47*(B126-B33)</f>
        <v>-0.17638765187635128</v>
      </c>
      <c r="C129" s="55">
        <f aca="true" t="shared" si="75" ref="C129:Z129">C36+C51*(C124-C31)+C47*(C126-C33)</f>
        <v>-0.2368646320285278</v>
      </c>
      <c r="D129" s="55">
        <f t="shared" si="75"/>
        <v>-0.47789906147895334</v>
      </c>
      <c r="E129" s="55">
        <f t="shared" si="75"/>
        <v>-0.6830951466478187</v>
      </c>
      <c r="F129" s="55">
        <f t="shared" si="75"/>
        <v>-0.7969363636142862</v>
      </c>
      <c r="G129" s="55">
        <f t="shared" si="75"/>
        <v>-0.792725009611717</v>
      </c>
      <c r="H129" s="55">
        <f t="shared" si="75"/>
        <v>-0.6730113349171667</v>
      </c>
      <c r="I129" s="55">
        <f t="shared" si="75"/>
        <v>-0.48245390050268766</v>
      </c>
      <c r="J129" s="55">
        <f t="shared" si="75"/>
        <v>-0.292635693080064</v>
      </c>
      <c r="K129" s="55">
        <f t="shared" si="75"/>
        <v>-0.1446075409231759</v>
      </c>
      <c r="L129" s="55">
        <f t="shared" si="75"/>
        <v>-0.030726069812487954</v>
      </c>
      <c r="M129" s="55">
        <f t="shared" si="75"/>
        <v>0.0663795309630926</v>
      </c>
      <c r="N129" s="55">
        <f t="shared" si="75"/>
        <v>0.14833810410820975</v>
      </c>
      <c r="O129" s="55">
        <f t="shared" si="75"/>
        <v>0.20841248360309123</v>
      </c>
      <c r="P129" s="55">
        <f t="shared" si="75"/>
        <v>0.24275028589886044</v>
      </c>
      <c r="Q129" s="55">
        <f t="shared" si="75"/>
        <v>0.2538992920716305</v>
      </c>
      <c r="R129" s="55">
        <f t="shared" si="75"/>
        <v>0.24979597250125776</v>
      </c>
      <c r="S129" s="55">
        <f t="shared" si="75"/>
        <v>0.24145684048894517</v>
      </c>
      <c r="T129" s="55">
        <f t="shared" si="75"/>
        <v>0.2406772753771397</v>
      </c>
      <c r="U129" s="55">
        <f t="shared" si="75"/>
        <v>0.2568545395842652</v>
      </c>
      <c r="V129" s="55">
        <f t="shared" si="75"/>
        <v>0.29015514918478996</v>
      </c>
      <c r="W129" s="55">
        <f t="shared" si="75"/>
        <v>0.3212784117164889</v>
      </c>
      <c r="X129" s="55">
        <f t="shared" si="75"/>
        <v>0.30830831852140467</v>
      </c>
      <c r="Y129" s="55">
        <f t="shared" si="75"/>
        <v>0.20490710527106015</v>
      </c>
      <c r="Z129" s="55">
        <f t="shared" si="75"/>
        <v>-0.005250218170585873</v>
      </c>
    </row>
    <row r="130" spans="1:26" s="32" customFormat="1" ht="12.75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s="32" customFormat="1" ht="12.75">
      <c r="A131" s="15" t="s">
        <v>117</v>
      </c>
      <c r="B131" s="47">
        <f>$K$6*B128</f>
        <v>-3.457742030435478</v>
      </c>
      <c r="C131" s="47">
        <f aca="true" t="shared" si="76" ref="C131:Z131">$K$6*C128</f>
        <v>-3.624976051644824</v>
      </c>
      <c r="D131" s="47">
        <f t="shared" si="76"/>
        <v>-3.6487448455794924</v>
      </c>
      <c r="E131" s="47">
        <f t="shared" si="76"/>
        <v>-3.0462660015511154</v>
      </c>
      <c r="F131" s="47">
        <f t="shared" si="76"/>
        <v>-1.801975506982356</v>
      </c>
      <c r="G131" s="47">
        <f t="shared" si="76"/>
        <v>-0.06856414347849349</v>
      </c>
      <c r="H131" s="47">
        <f t="shared" si="76"/>
        <v>1.7819800536956465</v>
      </c>
      <c r="I131" s="47">
        <f t="shared" si="76"/>
        <v>3.103837163794414</v>
      </c>
      <c r="J131" s="47">
        <f t="shared" si="76"/>
        <v>3.417232854346884</v>
      </c>
      <c r="K131" s="47">
        <f t="shared" si="76"/>
        <v>2.984063290684089</v>
      </c>
      <c r="L131" s="47">
        <f t="shared" si="76"/>
        <v>2.38912020935807</v>
      </c>
      <c r="M131" s="47">
        <f t="shared" si="76"/>
        <v>1.8882423041588736</v>
      </c>
      <c r="N131" s="47">
        <f t="shared" si="76"/>
        <v>1.4751619931541196</v>
      </c>
      <c r="O131" s="47">
        <f t="shared" si="76"/>
        <v>1.1110053923490364</v>
      </c>
      <c r="P131" s="47">
        <f t="shared" si="76"/>
        <v>0.7872585571210837</v>
      </c>
      <c r="Q131" s="47">
        <f t="shared" si="76"/>
        <v>0.5140278387613919</v>
      </c>
      <c r="R131" s="47">
        <f t="shared" si="76"/>
        <v>0.3023700693267462</v>
      </c>
      <c r="S131" s="47">
        <f t="shared" si="76"/>
        <v>0.15314363494501482</v>
      </c>
      <c r="T131" s="47">
        <f t="shared" si="76"/>
        <v>0.04828103479972952</v>
      </c>
      <c r="U131" s="47">
        <f t="shared" si="76"/>
        <v>-0.06291860926094812</v>
      </c>
      <c r="V131" s="47">
        <f t="shared" si="76"/>
        <v>-0.2797219318156712</v>
      </c>
      <c r="W131" s="47">
        <f t="shared" si="76"/>
        <v>-0.7377674932491111</v>
      </c>
      <c r="X131" s="47">
        <f t="shared" si="76"/>
        <v>-1.5289318339481248</v>
      </c>
      <c r="Y131" s="47">
        <f t="shared" si="76"/>
        <v>-2.5805882918714644</v>
      </c>
      <c r="Z131" s="47">
        <f t="shared" si="76"/>
        <v>-3.6139079293327447</v>
      </c>
    </row>
    <row r="132" spans="1:26" s="32" customFormat="1" ht="12.75">
      <c r="A132" s="15" t="s">
        <v>118</v>
      </c>
      <c r="B132" s="20">
        <f>$K$6*B129</f>
        <v>-0.5291629556290538</v>
      </c>
      <c r="C132" s="20">
        <f aca="true" t="shared" si="77" ref="C132:Z132">$K$6*C129</f>
        <v>-0.7105938960855834</v>
      </c>
      <c r="D132" s="20">
        <f t="shared" si="77"/>
        <v>-1.43369718443686</v>
      </c>
      <c r="E132" s="20">
        <f t="shared" si="77"/>
        <v>-2.049285439943456</v>
      </c>
      <c r="F132" s="20">
        <f t="shared" si="77"/>
        <v>-2.3908090908428585</v>
      </c>
      <c r="G132" s="20">
        <f t="shared" si="77"/>
        <v>-2.378175028835151</v>
      </c>
      <c r="H132" s="20">
        <f t="shared" si="77"/>
        <v>-2.0190340047515</v>
      </c>
      <c r="I132" s="20">
        <f t="shared" si="77"/>
        <v>-1.447361701508063</v>
      </c>
      <c r="J132" s="20">
        <f t="shared" si="77"/>
        <v>-0.877907079240192</v>
      </c>
      <c r="K132" s="20">
        <f t="shared" si="77"/>
        <v>-0.4338226227695277</v>
      </c>
      <c r="L132" s="20">
        <f t="shared" si="77"/>
        <v>-0.09217820943746385</v>
      </c>
      <c r="M132" s="20">
        <f t="shared" si="77"/>
        <v>0.1991385928892778</v>
      </c>
      <c r="N132" s="20">
        <f t="shared" si="77"/>
        <v>0.44501431232462924</v>
      </c>
      <c r="O132" s="20">
        <f t="shared" si="77"/>
        <v>0.6252374508092737</v>
      </c>
      <c r="P132" s="20">
        <f t="shared" si="77"/>
        <v>0.7282508576965814</v>
      </c>
      <c r="Q132" s="20">
        <f t="shared" si="77"/>
        <v>0.7616978762148914</v>
      </c>
      <c r="R132" s="20">
        <f t="shared" si="77"/>
        <v>0.7493879175037733</v>
      </c>
      <c r="S132" s="20">
        <f t="shared" si="77"/>
        <v>0.7243705214668354</v>
      </c>
      <c r="T132" s="20">
        <f t="shared" si="77"/>
        <v>0.7220318261314191</v>
      </c>
      <c r="U132" s="20">
        <f t="shared" si="77"/>
        <v>0.7705636187527956</v>
      </c>
      <c r="V132" s="20">
        <f t="shared" si="77"/>
        <v>0.8704654475543698</v>
      </c>
      <c r="W132" s="20">
        <f t="shared" si="77"/>
        <v>0.9638352351494668</v>
      </c>
      <c r="X132" s="20">
        <f t="shared" si="77"/>
        <v>0.9249249555642141</v>
      </c>
      <c r="Y132" s="20">
        <f t="shared" si="77"/>
        <v>0.6147213158131805</v>
      </c>
      <c r="Z132" s="20">
        <f t="shared" si="77"/>
        <v>-0.01575065451175762</v>
      </c>
    </row>
    <row r="133" spans="1:26" s="32" customFormat="1" ht="12.75">
      <c r="A133" s="15" t="s">
        <v>119</v>
      </c>
      <c r="B133" s="20">
        <f>$M$6*B45</f>
        <v>3.758770483143634</v>
      </c>
      <c r="C133" s="20">
        <f aca="true" t="shared" si="78" ref="C133:Z133">$M$6*C45</f>
        <v>3.9847787923669826</v>
      </c>
      <c r="D133" s="20">
        <f t="shared" si="78"/>
        <v>4.139683056381583</v>
      </c>
      <c r="E133" s="20">
        <f t="shared" si="78"/>
        <v>3.9470850145281124</v>
      </c>
      <c r="F133" s="20">
        <f t="shared" si="78"/>
        <v>3.3960473751527838</v>
      </c>
      <c r="G133" s="20">
        <f t="shared" si="78"/>
        <v>2.5463808705530053</v>
      </c>
      <c r="H133" s="20">
        <f t="shared" si="78"/>
        <v>1.4950644369996484</v>
      </c>
      <c r="I133" s="20">
        <f t="shared" si="78"/>
        <v>0.3680775715535737</v>
      </c>
      <c r="J133" s="20">
        <f t="shared" si="78"/>
        <v>-0.6951577097022711</v>
      </c>
      <c r="K133" s="20">
        <f t="shared" si="78"/>
        <v>-1.5832586326500513</v>
      </c>
      <c r="L133" s="20">
        <f t="shared" si="78"/>
        <v>-2.248531654491876</v>
      </c>
      <c r="M133" s="20">
        <f t="shared" si="78"/>
        <v>-2.6866837302973545</v>
      </c>
      <c r="N133" s="20">
        <f t="shared" si="78"/>
        <v>-2.9006050187127745</v>
      </c>
      <c r="O133" s="20">
        <f t="shared" si="78"/>
        <v>-2.89892561062592</v>
      </c>
      <c r="P133" s="20">
        <f t="shared" si="78"/>
        <v>-2.705355811743355</v>
      </c>
      <c r="Q133" s="20">
        <f t="shared" si="78"/>
        <v>-2.358301909251457</v>
      </c>
      <c r="R133" s="20">
        <f t="shared" si="78"/>
        <v>-1.9029137163679346</v>
      </c>
      <c r="S133" s="20">
        <f t="shared" si="78"/>
        <v>-1.3803126850648777</v>
      </c>
      <c r="T133" s="20">
        <f t="shared" si="78"/>
        <v>-0.8166152805267108</v>
      </c>
      <c r="U133" s="20">
        <f t="shared" si="78"/>
        <v>-0.21354543678660215</v>
      </c>
      <c r="V133" s="20">
        <f t="shared" si="78"/>
        <v>0.4543093417517447</v>
      </c>
      <c r="W133" s="20">
        <f t="shared" si="78"/>
        <v>1.2229616211597405</v>
      </c>
      <c r="X133" s="20">
        <f t="shared" si="78"/>
        <v>2.0954335767423093</v>
      </c>
      <c r="Y133" s="20">
        <f t="shared" si="78"/>
        <v>2.999425469230638</v>
      </c>
      <c r="Z133" s="20">
        <f t="shared" si="78"/>
        <v>3.7948390453902254</v>
      </c>
    </row>
    <row r="134" spans="1:26" s="32" customFormat="1" ht="12.75">
      <c r="A134" s="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s="32" customFormat="1" ht="12.75">
      <c r="A135" s="15" t="s">
        <v>120</v>
      </c>
      <c r="B135" s="20">
        <f>B131*B126+B132*B127+B133*B47</f>
        <v>-1.0635789190502307</v>
      </c>
      <c r="C135" s="20">
        <f aca="true" t="shared" si="79" ref="C135:Z135">C131*C126+C132*C127+C133*C47</f>
        <v>-0.22450496959005073</v>
      </c>
      <c r="D135" s="20">
        <f t="shared" si="79"/>
        <v>0.45168290313115445</v>
      </c>
      <c r="E135" s="20">
        <f t="shared" si="79"/>
        <v>0.8879167475897878</v>
      </c>
      <c r="F135" s="20">
        <f t="shared" si="79"/>
        <v>0.5747601084496416</v>
      </c>
      <c r="G135" s="20">
        <f t="shared" si="79"/>
        <v>-0.6246567982934591</v>
      </c>
      <c r="H135" s="20">
        <f t="shared" si="79"/>
        <v>-2.1221012338093432</v>
      </c>
      <c r="I135" s="20">
        <f t="shared" si="79"/>
        <v>-2.813884942644339</v>
      </c>
      <c r="J135" s="20">
        <f t="shared" si="79"/>
        <v>-2.3477478457168135</v>
      </c>
      <c r="K135" s="20">
        <f t="shared" si="79"/>
        <v>-1.5580990167314082</v>
      </c>
      <c r="L135" s="20">
        <f t="shared" si="79"/>
        <v>-1.0727255070889097</v>
      </c>
      <c r="M135" s="20">
        <f t="shared" si="79"/>
        <v>-0.8583126907678431</v>
      </c>
      <c r="N135" s="20">
        <f t="shared" si="79"/>
        <v>-0.739597870295548</v>
      </c>
      <c r="O135" s="20">
        <f t="shared" si="79"/>
        <v>-0.6237404013182613</v>
      </c>
      <c r="P135" s="20">
        <f t="shared" si="79"/>
        <v>-0.487291207524758</v>
      </c>
      <c r="Q135" s="20">
        <f t="shared" si="79"/>
        <v>-0.3382053088004608</v>
      </c>
      <c r="R135" s="20">
        <f t="shared" si="79"/>
        <v>-0.19242416610459104</v>
      </c>
      <c r="S135" s="20">
        <f t="shared" si="79"/>
        <v>-0.06290306349178604</v>
      </c>
      <c r="T135" s="20">
        <f t="shared" si="79"/>
        <v>0.04114246657489836</v>
      </c>
      <c r="U135" s="20">
        <f t="shared" si="79"/>
        <v>0.1043216297429165</v>
      </c>
      <c r="V135" s="20">
        <f t="shared" si="79"/>
        <v>0.08720719235460292</v>
      </c>
      <c r="W135" s="20">
        <f t="shared" si="79"/>
        <v>-0.07549064961722787</v>
      </c>
      <c r="X135" s="20">
        <f t="shared" si="79"/>
        <v>-0.40453133535581437</v>
      </c>
      <c r="Y135" s="20">
        <f t="shared" si="79"/>
        <v>-0.7373502632234845</v>
      </c>
      <c r="Z135" s="20">
        <f t="shared" si="79"/>
        <v>-0.731414374847443</v>
      </c>
    </row>
    <row r="136" spans="1:26" s="32" customFormat="1" ht="12.75">
      <c r="A136" s="15" t="s">
        <v>121</v>
      </c>
      <c r="B136" s="20">
        <f>$L$6*B127</f>
        <v>19.055401430694797</v>
      </c>
      <c r="C136" s="20">
        <f aca="true" t="shared" si="80" ref="C136:Z136">$L$6*C127</f>
        <v>17.016830654315864</v>
      </c>
      <c r="D136" s="20">
        <f t="shared" si="80"/>
        <v>14.445515329525552</v>
      </c>
      <c r="E136" s="20">
        <f t="shared" si="80"/>
        <v>10.355213724678123</v>
      </c>
      <c r="F136" s="20">
        <f t="shared" si="80"/>
        <v>5.176033909563196</v>
      </c>
      <c r="G136" s="20">
        <f t="shared" si="80"/>
        <v>-0.38991254200410774</v>
      </c>
      <c r="H136" s="20">
        <f t="shared" si="80"/>
        <v>-5.596218700779226</v>
      </c>
      <c r="I136" s="20">
        <f t="shared" si="80"/>
        <v>-9.827622119361251</v>
      </c>
      <c r="J136" s="20">
        <f t="shared" si="80"/>
        <v>-12.794098131213405</v>
      </c>
      <c r="K136" s="20">
        <f t="shared" si="80"/>
        <v>-14.548964893217326</v>
      </c>
      <c r="L136" s="20">
        <f t="shared" si="80"/>
        <v>-15.281156063319232</v>
      </c>
      <c r="M136" s="20">
        <f t="shared" si="80"/>
        <v>-15.107330971752722</v>
      </c>
      <c r="N136" s="20">
        <f t="shared" si="80"/>
        <v>-14.063000160722751</v>
      </c>
      <c r="O136" s="20">
        <f t="shared" si="80"/>
        <v>-12.219919522404394</v>
      </c>
      <c r="P136" s="20">
        <f t="shared" si="80"/>
        <v>-9.738920209959051</v>
      </c>
      <c r="Q136" s="20">
        <f t="shared" si="80"/>
        <v>-6.840449168311974</v>
      </c>
      <c r="R136" s="20">
        <f t="shared" si="80"/>
        <v>-3.7469251879080274</v>
      </c>
      <c r="S136" s="20">
        <f t="shared" si="80"/>
        <v>-0.6265118181564198</v>
      </c>
      <c r="T136" s="20">
        <f t="shared" si="80"/>
        <v>2.449934033912303</v>
      </c>
      <c r="U136" s="20">
        <f t="shared" si="80"/>
        <v>5.52701125214341</v>
      </c>
      <c r="V136" s="20">
        <f t="shared" si="80"/>
        <v>8.725723565259925</v>
      </c>
      <c r="W136" s="20">
        <f t="shared" si="80"/>
        <v>12.097304982528298</v>
      </c>
      <c r="X136" s="20">
        <f t="shared" si="80"/>
        <v>15.40265735652055</v>
      </c>
      <c r="Y136" s="20">
        <f t="shared" si="80"/>
        <v>18.032837070869</v>
      </c>
      <c r="Z136" s="20">
        <f t="shared" si="80"/>
        <v>19.238254024573315</v>
      </c>
    </row>
    <row r="137" spans="1:26" s="32" customFormat="1" ht="12.75">
      <c r="A137" s="15" t="s">
        <v>122</v>
      </c>
      <c r="B137" s="20">
        <f>B135+B136</f>
        <v>17.991822511644568</v>
      </c>
      <c r="C137" s="20">
        <f aca="true" t="shared" si="81" ref="C137:Z137">C135+C136</f>
        <v>16.792325684725814</v>
      </c>
      <c r="D137" s="20">
        <f t="shared" si="81"/>
        <v>14.897198232656706</v>
      </c>
      <c r="E137" s="20">
        <f t="shared" si="81"/>
        <v>11.24313047226791</v>
      </c>
      <c r="F137" s="20">
        <f t="shared" si="81"/>
        <v>5.750794018012837</v>
      </c>
      <c r="G137" s="20">
        <f t="shared" si="81"/>
        <v>-1.0145693402975668</v>
      </c>
      <c r="H137" s="20">
        <f t="shared" si="81"/>
        <v>-7.718319934588569</v>
      </c>
      <c r="I137" s="20">
        <f t="shared" si="81"/>
        <v>-12.64150706200559</v>
      </c>
      <c r="J137" s="20">
        <f t="shared" si="81"/>
        <v>-15.141845976930218</v>
      </c>
      <c r="K137" s="20">
        <f t="shared" si="81"/>
        <v>-16.107063909948735</v>
      </c>
      <c r="L137" s="20">
        <f t="shared" si="81"/>
        <v>-16.35388157040814</v>
      </c>
      <c r="M137" s="20">
        <f t="shared" si="81"/>
        <v>-15.965643662520565</v>
      </c>
      <c r="N137" s="20">
        <f t="shared" si="81"/>
        <v>-14.802598031018299</v>
      </c>
      <c r="O137" s="20">
        <f t="shared" si="81"/>
        <v>-12.843659923722656</v>
      </c>
      <c r="P137" s="20">
        <f t="shared" si="81"/>
        <v>-10.226211417483809</v>
      </c>
      <c r="Q137" s="20">
        <f t="shared" si="81"/>
        <v>-7.178654477112435</v>
      </c>
      <c r="R137" s="20">
        <f t="shared" si="81"/>
        <v>-3.9393493540126183</v>
      </c>
      <c r="S137" s="20">
        <f t="shared" si="81"/>
        <v>-0.6894148816482057</v>
      </c>
      <c r="T137" s="20">
        <f t="shared" si="81"/>
        <v>2.4910765004872015</v>
      </c>
      <c r="U137" s="20">
        <f t="shared" si="81"/>
        <v>5.631332881886326</v>
      </c>
      <c r="V137" s="20">
        <f t="shared" si="81"/>
        <v>8.812930757614527</v>
      </c>
      <c r="W137" s="20">
        <f t="shared" si="81"/>
        <v>12.02181433291107</v>
      </c>
      <c r="X137" s="20">
        <f t="shared" si="81"/>
        <v>14.998126021164735</v>
      </c>
      <c r="Y137" s="20">
        <f t="shared" si="81"/>
        <v>17.295486807645517</v>
      </c>
      <c r="Z137" s="20">
        <f t="shared" si="81"/>
        <v>18.506839649725872</v>
      </c>
    </row>
    <row r="138" spans="1:26" s="32" customFormat="1" ht="12.75">
      <c r="A138" s="15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s="32" customFormat="1" ht="12.75">
      <c r="A139" s="15" t="s">
        <v>123</v>
      </c>
      <c r="B139" s="20">
        <f>((B126^2+B127^2)*$K$6+$M$6*B47^2)/2</f>
        <v>0.8196198267927925</v>
      </c>
      <c r="C139" s="20">
        <f aca="true" t="shared" si="82" ref="C139:Z139">((C126^2+C127^2)*$K$6+$M$6*C47^2)/2</f>
        <v>0.9694032436140775</v>
      </c>
      <c r="D139" s="20">
        <f t="shared" si="82"/>
        <v>1.4212304232117012</v>
      </c>
      <c r="E139" s="20">
        <f t="shared" si="82"/>
        <v>2.011177098761012</v>
      </c>
      <c r="F139" s="20">
        <f t="shared" si="82"/>
        <v>2.5316092247404587</v>
      </c>
      <c r="G139" s="20">
        <f t="shared" si="82"/>
        <v>2.732980339867588</v>
      </c>
      <c r="H139" s="20">
        <f t="shared" si="82"/>
        <v>2.465900924644781</v>
      </c>
      <c r="I139" s="20">
        <f t="shared" si="82"/>
        <v>1.8464685232237465</v>
      </c>
      <c r="J139" s="20">
        <f t="shared" si="82"/>
        <v>1.213224465711851</v>
      </c>
      <c r="K139" s="20">
        <f t="shared" si="82"/>
        <v>0.8036020650397813</v>
      </c>
      <c r="L139" s="20">
        <f t="shared" si="82"/>
        <v>0.6115376751851411</v>
      </c>
      <c r="M139" s="20">
        <f t="shared" si="82"/>
        <v>0.5430663666762734</v>
      </c>
      <c r="N139" s="20">
        <f t="shared" si="82"/>
        <v>0.5294674381423601</v>
      </c>
      <c r="O139" s="20">
        <f t="shared" si="82"/>
        <v>0.5357100313389294</v>
      </c>
      <c r="P139" s="20">
        <f t="shared" si="82"/>
        <v>0.5457193250685721</v>
      </c>
      <c r="Q139" s="20">
        <f t="shared" si="82"/>
        <v>0.5529315444544556</v>
      </c>
      <c r="R139" s="20">
        <f t="shared" si="82"/>
        <v>0.5561025921186177</v>
      </c>
      <c r="S139" s="20">
        <f t="shared" si="82"/>
        <v>0.5575387383655478</v>
      </c>
      <c r="T139" s="20">
        <f t="shared" si="82"/>
        <v>0.5620880423846066</v>
      </c>
      <c r="U139" s="20">
        <f t="shared" si="82"/>
        <v>0.5755558796328232</v>
      </c>
      <c r="V139" s="20">
        <f t="shared" si="82"/>
        <v>0.6009310907078086</v>
      </c>
      <c r="W139" s="20">
        <f t="shared" si="82"/>
        <v>0.6332718065943393</v>
      </c>
      <c r="X139" s="20">
        <f t="shared" si="82"/>
        <v>0.6638912216423007</v>
      </c>
      <c r="Y139" s="20">
        <f t="shared" si="82"/>
        <v>0.7081252261278159</v>
      </c>
      <c r="Z139" s="20">
        <f t="shared" si="82"/>
        <v>0.8354251798648143</v>
      </c>
    </row>
    <row r="140" spans="1:26" s="32" customFormat="1" ht="12.75">
      <c r="A140" s="15" t="s">
        <v>124</v>
      </c>
      <c r="B140" s="20">
        <f>$L$6*(B125-$J$6)</f>
        <v>0</v>
      </c>
      <c r="C140" s="20">
        <f aca="true" t="shared" si="83" ref="C140:Z140">$L$6*(C125-$J$6)</f>
        <v>4.750941602175238</v>
      </c>
      <c r="D140" s="20">
        <f t="shared" si="83"/>
        <v>8.802151326801816</v>
      </c>
      <c r="E140" s="20">
        <f t="shared" si="83"/>
        <v>11.863918870479191</v>
      </c>
      <c r="F140" s="20">
        <f t="shared" si="83"/>
        <v>13.728977342444082</v>
      </c>
      <c r="G140" s="20">
        <f t="shared" si="83"/>
        <v>14.293404436250274</v>
      </c>
      <c r="H140" s="20">
        <f t="shared" si="83"/>
        <v>13.567306519467145</v>
      </c>
      <c r="I140" s="20">
        <f t="shared" si="83"/>
        <v>11.663587036184191</v>
      </c>
      <c r="J140" s="20">
        <f t="shared" si="83"/>
        <v>8.756061307549325</v>
      </c>
      <c r="K140" s="20">
        <f t="shared" si="83"/>
        <v>5.03302447820468</v>
      </c>
      <c r="L140" s="20">
        <f t="shared" si="83"/>
        <v>0.6928395086784301</v>
      </c>
      <c r="M140" s="20">
        <f t="shared" si="83"/>
        <v>-4.029833932614685</v>
      </c>
      <c r="N140" s="20">
        <f t="shared" si="83"/>
        <v>-8.853425775410148</v>
      </c>
      <c r="O140" s="20">
        <f t="shared" si="83"/>
        <v>-13.46442719922046</v>
      </c>
      <c r="P140" s="20">
        <f t="shared" si="83"/>
        <v>-17.54423990630747</v>
      </c>
      <c r="Q140" s="20">
        <f t="shared" si="83"/>
        <v>-20.797618327054703</v>
      </c>
      <c r="R140" s="20">
        <f t="shared" si="83"/>
        <v>-22.978573898757936</v>
      </c>
      <c r="S140" s="20">
        <f t="shared" si="83"/>
        <v>-23.912068360662587</v>
      </c>
      <c r="T140" s="20">
        <f t="shared" si="83"/>
        <v>-23.510355439736955</v>
      </c>
      <c r="U140" s="20">
        <f t="shared" si="83"/>
        <v>-21.782846524577703</v>
      </c>
      <c r="V140" s="20">
        <f t="shared" si="83"/>
        <v>-18.838435268743446</v>
      </c>
      <c r="W140" s="20">
        <f t="shared" si="83"/>
        <v>-14.879579938306966</v>
      </c>
      <c r="X140" s="20">
        <f t="shared" si="83"/>
        <v>-10.188196788745593</v>
      </c>
      <c r="Y140" s="20">
        <f t="shared" si="83"/>
        <v>-5.104401794495181</v>
      </c>
      <c r="Z140" s="20">
        <f t="shared" si="83"/>
        <v>-8.16846590367959E-15</v>
      </c>
    </row>
    <row r="141" spans="1:26" s="32" customFormat="1" ht="12.75">
      <c r="A141" s="15" t="s">
        <v>141</v>
      </c>
      <c r="B141" s="20">
        <f>B139+B140</f>
        <v>0.8196198267927925</v>
      </c>
      <c r="C141" s="20">
        <f aca="true" t="shared" si="84" ref="C141:Z141">C139+C140</f>
        <v>5.720344845789315</v>
      </c>
      <c r="D141" s="20">
        <f t="shared" si="84"/>
        <v>10.223381750013518</v>
      </c>
      <c r="E141" s="20">
        <f t="shared" si="84"/>
        <v>13.875095969240203</v>
      </c>
      <c r="F141" s="20">
        <f t="shared" si="84"/>
        <v>16.26058656718454</v>
      </c>
      <c r="G141" s="20">
        <f t="shared" si="84"/>
        <v>17.02638477611786</v>
      </c>
      <c r="H141" s="20">
        <f t="shared" si="84"/>
        <v>16.033207444111927</v>
      </c>
      <c r="I141" s="20">
        <f t="shared" si="84"/>
        <v>13.510055559407938</v>
      </c>
      <c r="J141" s="20">
        <f t="shared" si="84"/>
        <v>9.969285773261177</v>
      </c>
      <c r="K141" s="20">
        <f t="shared" si="84"/>
        <v>5.836626543244461</v>
      </c>
      <c r="L141" s="20">
        <f t="shared" si="84"/>
        <v>1.3043771838635712</v>
      </c>
      <c r="M141" s="20">
        <f t="shared" si="84"/>
        <v>-3.4867675659384116</v>
      </c>
      <c r="N141" s="20">
        <f t="shared" si="84"/>
        <v>-8.323958337267788</v>
      </c>
      <c r="O141" s="20">
        <f t="shared" si="84"/>
        <v>-12.92871716788153</v>
      </c>
      <c r="P141" s="20">
        <f t="shared" si="84"/>
        <v>-16.9985205812389</v>
      </c>
      <c r="Q141" s="20">
        <f t="shared" si="84"/>
        <v>-20.244686782600247</v>
      </c>
      <c r="R141" s="20">
        <f t="shared" si="84"/>
        <v>-22.42247130663932</v>
      </c>
      <c r="S141" s="20">
        <f t="shared" si="84"/>
        <v>-23.35452962229704</v>
      </c>
      <c r="T141" s="20">
        <f t="shared" si="84"/>
        <v>-22.94826739735235</v>
      </c>
      <c r="U141" s="20">
        <f t="shared" si="84"/>
        <v>-21.20729064494488</v>
      </c>
      <c r="V141" s="20">
        <f t="shared" si="84"/>
        <v>-18.237504178035636</v>
      </c>
      <c r="W141" s="20">
        <f t="shared" si="84"/>
        <v>-14.246308131712627</v>
      </c>
      <c r="X141" s="20">
        <f t="shared" si="84"/>
        <v>-9.524305567103292</v>
      </c>
      <c r="Y141" s="20">
        <f t="shared" si="84"/>
        <v>-4.396276568367365</v>
      </c>
      <c r="Z141" s="20">
        <f t="shared" si="84"/>
        <v>0.8354251798648061</v>
      </c>
    </row>
    <row r="142" spans="1:26" s="32" customFormat="1" ht="12.75">
      <c r="A142" s="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3.5" thickBot="1"/>
    <row r="144" spans="1:26" ht="13.5" thickBot="1">
      <c r="A144" s="51" t="s">
        <v>158</v>
      </c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15" t="s">
        <v>142</v>
      </c>
      <c r="B145" s="20">
        <f>B54+($I$7-$B$54)</f>
        <v>3.5</v>
      </c>
      <c r="C145" s="20">
        <f aca="true" t="shared" si="85" ref="C145:Z145">C54+($I$7-$B$54)</f>
        <v>3.406171936841343</v>
      </c>
      <c r="D145" s="20">
        <f t="shared" si="85"/>
        <v>3.2153387640815954</v>
      </c>
      <c r="E145" s="20">
        <f t="shared" si="85"/>
        <v>2.935394999108299</v>
      </c>
      <c r="F145" s="20">
        <f t="shared" si="85"/>
        <v>2.5859386929600263</v>
      </c>
      <c r="G145" s="20">
        <f t="shared" si="85"/>
        <v>2.1994771091173453</v>
      </c>
      <c r="H145" s="20">
        <f t="shared" si="85"/>
        <v>1.8205622206692138</v>
      </c>
      <c r="I145" s="20">
        <f t="shared" si="85"/>
        <v>1.4988007587660452</v>
      </c>
      <c r="J145" s="20">
        <f t="shared" si="85"/>
        <v>1.272651206721302</v>
      </c>
      <c r="K145" s="20">
        <f t="shared" si="85"/>
        <v>1.1538320911260769</v>
      </c>
      <c r="L145" s="20">
        <f t="shared" si="85"/>
        <v>1.1296810685493388</v>
      </c>
      <c r="M145" s="20">
        <f t="shared" si="85"/>
        <v>1.1789238495028105</v>
      </c>
      <c r="N145" s="20">
        <f t="shared" si="85"/>
        <v>1.2831016069265204</v>
      </c>
      <c r="O145" s="20">
        <f t="shared" si="85"/>
        <v>1.4294103394924291</v>
      </c>
      <c r="P145" s="20">
        <f t="shared" si="85"/>
        <v>1.6095167596918563</v>
      </c>
      <c r="Q145" s="20">
        <f t="shared" si="85"/>
        <v>1.8176021976869374</v>
      </c>
      <c r="R145" s="20">
        <f t="shared" si="85"/>
        <v>2.0485900878893264</v>
      </c>
      <c r="S145" s="20">
        <f t="shared" si="85"/>
        <v>2.296643226348504</v>
      </c>
      <c r="T145" s="20">
        <f t="shared" si="85"/>
        <v>2.553906549626581</v>
      </c>
      <c r="U145" s="20">
        <f t="shared" si="85"/>
        <v>2.8095851418363225</v>
      </c>
      <c r="V145" s="20">
        <f t="shared" si="85"/>
        <v>3.049567584345275</v>
      </c>
      <c r="W145" s="20">
        <f t="shared" si="85"/>
        <v>3.2568238660247184</v>
      </c>
      <c r="X145" s="20">
        <f t="shared" si="85"/>
        <v>3.4126819922953473</v>
      </c>
      <c r="Y145" s="20">
        <f t="shared" si="85"/>
        <v>3.498867799886076</v>
      </c>
      <c r="Z145" s="20">
        <f t="shared" si="85"/>
        <v>3.5</v>
      </c>
    </row>
    <row r="146" spans="1:26" ht="12.75">
      <c r="A146" s="15" t="s">
        <v>143</v>
      </c>
      <c r="B146" s="20">
        <f>B55-($B$55-$J$7)</f>
        <v>-0.7</v>
      </c>
      <c r="C146" s="20">
        <f aca="true" t="shared" si="86" ref="C146:Z146">C55-($B$55-$J$7)</f>
        <v>-0.7360172189236406</v>
      </c>
      <c r="D146" s="20">
        <f t="shared" si="86"/>
        <v>-0.8092712106378074</v>
      </c>
      <c r="E146" s="20">
        <f t="shared" si="86"/>
        <v>-0.9167315538434632</v>
      </c>
      <c r="F146" s="20">
        <f t="shared" si="86"/>
        <v>-1.050875261590111</v>
      </c>
      <c r="G146" s="20">
        <f t="shared" si="86"/>
        <v>-1.1992239645501401</v>
      </c>
      <c r="H146" s="20">
        <f t="shared" si="86"/>
        <v>-1.344675762564834</v>
      </c>
      <c r="I146" s="20">
        <f t="shared" si="86"/>
        <v>-1.4681884156498786</v>
      </c>
      <c r="J146" s="20">
        <f t="shared" si="86"/>
        <v>-1.5549990952192254</v>
      </c>
      <c r="K146" s="20">
        <f t="shared" si="86"/>
        <v>-1.6006094803709479</v>
      </c>
      <c r="L146" s="20">
        <f t="shared" si="86"/>
        <v>-1.6098801893474861</v>
      </c>
      <c r="M146" s="20">
        <f t="shared" si="86"/>
        <v>-1.5909776567543212</v>
      </c>
      <c r="N146" s="20">
        <f t="shared" si="86"/>
        <v>-1.5509875624287157</v>
      </c>
      <c r="O146" s="20">
        <f t="shared" si="86"/>
        <v>-1.494824901985048</v>
      </c>
      <c r="P146" s="20">
        <f t="shared" si="86"/>
        <v>-1.4256885247915116</v>
      </c>
      <c r="Q146" s="20">
        <f t="shared" si="86"/>
        <v>-1.3458120089306078</v>
      </c>
      <c r="R146" s="20">
        <f t="shared" si="86"/>
        <v>-1.2571440653532013</v>
      </c>
      <c r="S146" s="20">
        <f t="shared" si="86"/>
        <v>-1.161925386721063</v>
      </c>
      <c r="T146" s="20">
        <f t="shared" si="86"/>
        <v>-1.06317124938092</v>
      </c>
      <c r="U146" s="20">
        <f t="shared" si="86"/>
        <v>-0.9650254333031135</v>
      </c>
      <c r="V146" s="20">
        <f t="shared" si="86"/>
        <v>-0.8729048045839726</v>
      </c>
      <c r="W146" s="20">
        <f t="shared" si="86"/>
        <v>-0.7933465720120643</v>
      </c>
      <c r="X146" s="20">
        <f t="shared" si="86"/>
        <v>-0.7335182427687615</v>
      </c>
      <c r="Y146" s="20">
        <f t="shared" si="86"/>
        <v>-0.7004346109041989</v>
      </c>
      <c r="Z146" s="20">
        <f t="shared" si="86"/>
        <v>-0.7000000000000002</v>
      </c>
    </row>
    <row r="147" spans="1:26" ht="12.75">
      <c r="A147" s="15" t="s">
        <v>144</v>
      </c>
      <c r="B147" s="20">
        <f>B57</f>
        <v>-0.17294679277980196</v>
      </c>
      <c r="C147" s="20">
        <f aca="true" t="shared" si="87" ref="C147:Z147">C57</f>
        <v>-0.5452804792920829</v>
      </c>
      <c r="D147" s="20">
        <f t="shared" si="87"/>
        <v>-0.9538523817079203</v>
      </c>
      <c r="E147" s="20">
        <f t="shared" si="87"/>
        <v>-1.3267445332629297</v>
      </c>
      <c r="F147" s="20">
        <f t="shared" si="87"/>
        <v>-1.5852984066403102</v>
      </c>
      <c r="G147" s="20">
        <f t="shared" si="87"/>
        <v>-1.6572752613890955</v>
      </c>
      <c r="H147" s="20">
        <f t="shared" si="87"/>
        <v>-1.495834695348047</v>
      </c>
      <c r="I147" s="20">
        <f t="shared" si="87"/>
        <v>-1.1229254725876814</v>
      </c>
      <c r="J147" s="20">
        <f t="shared" si="87"/>
        <v>-0.6573756335454242</v>
      </c>
      <c r="K147" s="20">
        <f t="shared" si="87"/>
        <v>-0.24365995365943716</v>
      </c>
      <c r="L147" s="20">
        <f t="shared" si="87"/>
        <v>0.053675030551475766</v>
      </c>
      <c r="M147" s="20">
        <f t="shared" si="87"/>
        <v>0.24839567363473936</v>
      </c>
      <c r="N147" s="20">
        <f t="shared" si="87"/>
        <v>0.3741728838496583</v>
      </c>
      <c r="O147" s="20">
        <f t="shared" si="87"/>
        <v>0.4566277137822194</v>
      </c>
      <c r="P147" s="20">
        <f t="shared" si="87"/>
        <v>0.5114071799631053</v>
      </c>
      <c r="Q147" s="20">
        <f t="shared" si="87"/>
        <v>0.5476545825287988</v>
      </c>
      <c r="R147" s="20">
        <f t="shared" si="87"/>
        <v>0.5707889355154462</v>
      </c>
      <c r="S147" s="20">
        <f t="shared" si="87"/>
        <v>0.5841363641237043</v>
      </c>
      <c r="T147" s="20">
        <f t="shared" si="87"/>
        <v>0.5894867567882898</v>
      </c>
      <c r="U147" s="20">
        <f t="shared" si="87"/>
        <v>0.5859935113922714</v>
      </c>
      <c r="V147" s="20">
        <f t="shared" si="87"/>
        <v>0.566254091526302</v>
      </c>
      <c r="W147" s="20">
        <f t="shared" si="87"/>
        <v>0.5104303456262187</v>
      </c>
      <c r="X147" s="20">
        <f t="shared" si="87"/>
        <v>0.38574223888447995</v>
      </c>
      <c r="Y147" s="20">
        <f t="shared" si="87"/>
        <v>0.16032086294079187</v>
      </c>
      <c r="Z147" s="20">
        <f t="shared" si="87"/>
        <v>-0.17460636262816062</v>
      </c>
    </row>
    <row r="148" spans="1:26" ht="12.75">
      <c r="A148" s="15" t="s">
        <v>145</v>
      </c>
      <c r="B148" s="20">
        <f>B58</f>
        <v>-0.06638805372288892</v>
      </c>
      <c r="C148" s="20">
        <f aca="true" t="shared" si="88" ref="C148:Z148">C58</f>
        <v>-0.20931356500710474</v>
      </c>
      <c r="D148" s="20">
        <f t="shared" si="88"/>
        <v>-0.3661496240705443</v>
      </c>
      <c r="E148" s="20">
        <f t="shared" si="88"/>
        <v>-0.509289509999488</v>
      </c>
      <c r="F148" s="20">
        <f t="shared" si="88"/>
        <v>-0.608539043108165</v>
      </c>
      <c r="G148" s="20">
        <f>G58</f>
        <v>-0.6361683690011917</v>
      </c>
      <c r="H148" s="20">
        <f t="shared" si="88"/>
        <v>-0.5741971419022732</v>
      </c>
      <c r="I148" s="20">
        <f t="shared" si="88"/>
        <v>-0.43105070295155856</v>
      </c>
      <c r="J148" s="20">
        <f t="shared" si="88"/>
        <v>-0.2523428632267093</v>
      </c>
      <c r="K148" s="20">
        <f t="shared" si="88"/>
        <v>-0.09353229298825383</v>
      </c>
      <c r="L148" s="20">
        <f t="shared" si="88"/>
        <v>0.020603913808138752</v>
      </c>
      <c r="M148" s="20">
        <f t="shared" si="88"/>
        <v>0.09535016556677123</v>
      </c>
      <c r="N148" s="20">
        <f t="shared" si="88"/>
        <v>0.14363151299536803</v>
      </c>
      <c r="O148" s="20">
        <f t="shared" si="88"/>
        <v>0.1752829567214398</v>
      </c>
      <c r="P148" s="20">
        <f t="shared" si="88"/>
        <v>0.1963108236467207</v>
      </c>
      <c r="Q148" s="20">
        <f t="shared" si="88"/>
        <v>0.21022489785514098</v>
      </c>
      <c r="R148" s="20">
        <f t="shared" si="88"/>
        <v>0.219105343940529</v>
      </c>
      <c r="S148" s="20">
        <f t="shared" si="88"/>
        <v>0.2242289417434419</v>
      </c>
      <c r="T148" s="20">
        <f t="shared" si="88"/>
        <v>0.22628276506069372</v>
      </c>
      <c r="U148" s="20">
        <f t="shared" si="88"/>
        <v>0.2249418337876092</v>
      </c>
      <c r="V148" s="20">
        <f t="shared" si="88"/>
        <v>0.2173645804285999</v>
      </c>
      <c r="W148" s="20">
        <f t="shared" si="88"/>
        <v>0.19593585207660213</v>
      </c>
      <c r="X148" s="20">
        <f t="shared" si="88"/>
        <v>0.14807257230179172</v>
      </c>
      <c r="Y148" s="20">
        <f t="shared" si="88"/>
        <v>0.061541413348812135</v>
      </c>
      <c r="Z148" s="20">
        <f t="shared" si="88"/>
        <v>-0.06702510290130292</v>
      </c>
    </row>
    <row r="149" spans="1:26" ht="12.75">
      <c r="A149" s="15" t="s">
        <v>146</v>
      </c>
      <c r="B149" s="20">
        <f>B59</f>
        <v>-1.3951070331319524</v>
      </c>
      <c r="C149" s="20">
        <f aca="true" t="shared" si="89" ref="C149:Z149">C59</f>
        <v>-1.533447735497834</v>
      </c>
      <c r="D149" s="20">
        <f t="shared" si="89"/>
        <v>-1.5829997681985553</v>
      </c>
      <c r="E149" s="20">
        <f t="shared" si="89"/>
        <v>-1.3166972433233661</v>
      </c>
      <c r="F149" s="20">
        <f t="shared" si="89"/>
        <v>-0.6916517204797931</v>
      </c>
      <c r="G149" s="20">
        <f t="shared" si="89"/>
        <v>0.2335252479587488</v>
      </c>
      <c r="H149" s="20">
        <f t="shared" si="89"/>
        <v>1.226385022140112</v>
      </c>
      <c r="I149" s="20">
        <f t="shared" si="89"/>
        <v>1.8396972292558076</v>
      </c>
      <c r="J149" s="20">
        <f t="shared" si="89"/>
        <v>1.7710062484451938</v>
      </c>
      <c r="K149" s="20">
        <f t="shared" si="89"/>
        <v>1.2813104060634057</v>
      </c>
      <c r="L149" s="20">
        <f t="shared" si="89"/>
        <v>0.8031519558419974</v>
      </c>
      <c r="M149" s="20">
        <f t="shared" si="89"/>
        <v>0.48503821702255373</v>
      </c>
      <c r="N149" s="20">
        <f t="shared" si="89"/>
        <v>0.2956749800165642</v>
      </c>
      <c r="O149" s="20">
        <f t="shared" si="89"/>
        <v>0.18404107821951698</v>
      </c>
      <c r="P149" s="20">
        <f t="shared" si="89"/>
        <v>0.11712834816604686</v>
      </c>
      <c r="Q149" s="20">
        <f t="shared" si="89"/>
        <v>0.07665328105356303</v>
      </c>
      <c r="R149" s="20">
        <f t="shared" si="89"/>
        <v>0.052698446715830155</v>
      </c>
      <c r="S149" s="20">
        <f t="shared" si="89"/>
        <v>0.039094382727936944</v>
      </c>
      <c r="T149" s="20">
        <f t="shared" si="89"/>
        <v>0.028725421228278866</v>
      </c>
      <c r="U149" s="20">
        <f t="shared" si="89"/>
        <v>0.0060379376665522805</v>
      </c>
      <c r="V149" s="20">
        <f t="shared" si="89"/>
        <v>-0.06282685741163661</v>
      </c>
      <c r="W149" s="20">
        <f t="shared" si="89"/>
        <v>-0.23134332780816094</v>
      </c>
      <c r="X149" s="20">
        <f t="shared" si="89"/>
        <v>-0.546151113729487</v>
      </c>
      <c r="Y149" s="20">
        <f t="shared" si="89"/>
        <v>-0.9941345390104204</v>
      </c>
      <c r="Z149" s="20">
        <f t="shared" si="89"/>
        <v>-1.4686304288966476</v>
      </c>
    </row>
    <row r="150" spans="1:26" ht="12.75">
      <c r="A150" s="15" t="s">
        <v>147</v>
      </c>
      <c r="B150" s="20">
        <f>B60</f>
        <v>-0.5355314150443189</v>
      </c>
      <c r="C150" s="20">
        <f aca="true" t="shared" si="90" ref="C150:Z150">C60</f>
        <v>-0.5886354352641197</v>
      </c>
      <c r="D150" s="20">
        <f t="shared" si="90"/>
        <v>-0.6076566784808253</v>
      </c>
      <c r="E150" s="20">
        <f t="shared" si="90"/>
        <v>-0.505432716742116</v>
      </c>
      <c r="F150" s="20">
        <f t="shared" si="90"/>
        <v>-0.2655002202625607</v>
      </c>
      <c r="G150" s="20">
        <f t="shared" si="90"/>
        <v>0.08964194396409172</v>
      </c>
      <c r="H150" s="20">
        <f t="shared" si="90"/>
        <v>0.4707651031057014</v>
      </c>
      <c r="I150" s="20">
        <f t="shared" si="90"/>
        <v>0.7061936016656092</v>
      </c>
      <c r="J150" s="20">
        <f t="shared" si="90"/>
        <v>0.6798256046011066</v>
      </c>
      <c r="K150" s="20">
        <f t="shared" si="90"/>
        <v>0.49184898260436605</v>
      </c>
      <c r="L150" s="20">
        <f t="shared" si="90"/>
        <v>0.30830115051609525</v>
      </c>
      <c r="M150" s="20">
        <f t="shared" si="90"/>
        <v>0.1861887271326611</v>
      </c>
      <c r="N150" s="20">
        <f t="shared" si="90"/>
        <v>0.1134989908881742</v>
      </c>
      <c r="O150" s="20">
        <f t="shared" si="90"/>
        <v>0.07064675089761235</v>
      </c>
      <c r="P150" s="20">
        <f t="shared" si="90"/>
        <v>0.04496136034405173</v>
      </c>
      <c r="Q150" s="20">
        <f t="shared" si="90"/>
        <v>0.02942443776392445</v>
      </c>
      <c r="R150" s="20">
        <f t="shared" si="90"/>
        <v>0.02022903839643741</v>
      </c>
      <c r="S150" s="20">
        <f t="shared" si="90"/>
        <v>0.015006927501164778</v>
      </c>
      <c r="T150" s="20">
        <f t="shared" si="90"/>
        <v>0.011026656100779035</v>
      </c>
      <c r="U150" s="20">
        <f t="shared" si="90"/>
        <v>0.0023177471159750765</v>
      </c>
      <c r="V150" s="20">
        <f t="shared" si="90"/>
        <v>-0.02411697099462577</v>
      </c>
      <c r="W150" s="20">
        <f t="shared" si="90"/>
        <v>-0.08880438329096162</v>
      </c>
      <c r="X150" s="20">
        <f t="shared" si="90"/>
        <v>-0.20964777025528697</v>
      </c>
      <c r="Y150" s="20">
        <f t="shared" si="90"/>
        <v>-0.3816124955126131</v>
      </c>
      <c r="Z150" s="20">
        <f t="shared" si="90"/>
        <v>-0.5637544024120604</v>
      </c>
    </row>
    <row r="151" spans="2:26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>
      <c r="A152" s="15" t="s">
        <v>148</v>
      </c>
      <c r="B152" s="47">
        <f>$K$7*B149</f>
        <v>-2.0926605496979285</v>
      </c>
      <c r="C152" s="47">
        <f aca="true" t="shared" si="91" ref="C152:Z152">$K$7*C149</f>
        <v>-2.300171603246751</v>
      </c>
      <c r="D152" s="47">
        <f t="shared" si="91"/>
        <v>-2.3744996522978328</v>
      </c>
      <c r="E152" s="47">
        <f t="shared" si="91"/>
        <v>-1.975045864985049</v>
      </c>
      <c r="F152" s="47">
        <f t="shared" si="91"/>
        <v>-1.0374775807196897</v>
      </c>
      <c r="G152" s="47">
        <f t="shared" si="91"/>
        <v>0.35028787193812316</v>
      </c>
      <c r="H152" s="47">
        <f t="shared" si="91"/>
        <v>1.839577533210168</v>
      </c>
      <c r="I152" s="47">
        <f t="shared" si="91"/>
        <v>2.7595458438837115</v>
      </c>
      <c r="J152" s="47">
        <f t="shared" si="91"/>
        <v>2.6565093726677906</v>
      </c>
      <c r="K152" s="47">
        <f t="shared" si="91"/>
        <v>1.9219656090951087</v>
      </c>
      <c r="L152" s="47">
        <f t="shared" si="91"/>
        <v>1.2047279337629961</v>
      </c>
      <c r="M152" s="47">
        <f t="shared" si="91"/>
        <v>0.7275573255338306</v>
      </c>
      <c r="N152" s="47">
        <f t="shared" si="91"/>
        <v>0.44351247002484634</v>
      </c>
      <c r="O152" s="47">
        <f t="shared" si="91"/>
        <v>0.2760616173292755</v>
      </c>
      <c r="P152" s="47">
        <f t="shared" si="91"/>
        <v>0.17569252224907028</v>
      </c>
      <c r="Q152" s="47">
        <f t="shared" si="91"/>
        <v>0.11497992158034455</v>
      </c>
      <c r="R152" s="47">
        <f t="shared" si="91"/>
        <v>0.07904767007374523</v>
      </c>
      <c r="S152" s="47">
        <f t="shared" si="91"/>
        <v>0.058641574091905416</v>
      </c>
      <c r="T152" s="47">
        <f t="shared" si="91"/>
        <v>0.0430881318424183</v>
      </c>
      <c r="U152" s="47">
        <f t="shared" si="91"/>
        <v>0.009056906499828422</v>
      </c>
      <c r="V152" s="47">
        <f t="shared" si="91"/>
        <v>-0.09424028611745491</v>
      </c>
      <c r="W152" s="47">
        <f t="shared" si="91"/>
        <v>-0.3470149917122414</v>
      </c>
      <c r="X152" s="47">
        <f t="shared" si="91"/>
        <v>-0.8192266705942305</v>
      </c>
      <c r="Y152" s="47">
        <f t="shared" si="91"/>
        <v>-1.4912018085156307</v>
      </c>
      <c r="Z152" s="47">
        <f t="shared" si="91"/>
        <v>-2.2029456433449717</v>
      </c>
    </row>
    <row r="153" spans="1:26" ht="12.75">
      <c r="A153" s="15" t="s">
        <v>149</v>
      </c>
      <c r="B153" s="20">
        <f>$K$7*B150</f>
        <v>-0.8032971225664783</v>
      </c>
      <c r="C153" s="20">
        <f aca="true" t="shared" si="92" ref="C153:Z153">$K$7*C150</f>
        <v>-0.8829531528961795</v>
      </c>
      <c r="D153" s="20">
        <f t="shared" si="92"/>
        <v>-0.9114850177212379</v>
      </c>
      <c r="E153" s="20">
        <f t="shared" si="92"/>
        <v>-0.758149075113174</v>
      </c>
      <c r="F153" s="20">
        <f t="shared" si="92"/>
        <v>-0.39825033039384106</v>
      </c>
      <c r="G153" s="20">
        <f t="shared" si="92"/>
        <v>0.13446291594613757</v>
      </c>
      <c r="H153" s="20">
        <f t="shared" si="92"/>
        <v>0.7061476546585521</v>
      </c>
      <c r="I153" s="20">
        <f t="shared" si="92"/>
        <v>1.0592904024984138</v>
      </c>
      <c r="J153" s="20">
        <f t="shared" si="92"/>
        <v>1.01973840690166</v>
      </c>
      <c r="K153" s="20">
        <f t="shared" si="92"/>
        <v>0.7377734739065491</v>
      </c>
      <c r="L153" s="20">
        <f t="shared" si="92"/>
        <v>0.46245172577414284</v>
      </c>
      <c r="M153" s="20">
        <f t="shared" si="92"/>
        <v>0.27928309069899165</v>
      </c>
      <c r="N153" s="20">
        <f t="shared" si="92"/>
        <v>0.1702484863322613</v>
      </c>
      <c r="O153" s="20">
        <f t="shared" si="92"/>
        <v>0.10597012634641853</v>
      </c>
      <c r="P153" s="20">
        <f t="shared" si="92"/>
        <v>0.06744204051607759</v>
      </c>
      <c r="Q153" s="20">
        <f t="shared" si="92"/>
        <v>0.044136656645886674</v>
      </c>
      <c r="R153" s="20">
        <f t="shared" si="92"/>
        <v>0.030343557594656113</v>
      </c>
      <c r="S153" s="20">
        <f t="shared" si="92"/>
        <v>0.022510391251747166</v>
      </c>
      <c r="T153" s="20">
        <f t="shared" si="92"/>
        <v>0.016539984151168554</v>
      </c>
      <c r="U153" s="20">
        <f t="shared" si="92"/>
        <v>0.0034766206739626146</v>
      </c>
      <c r="V153" s="20">
        <f t="shared" si="92"/>
        <v>-0.03617545649193865</v>
      </c>
      <c r="W153" s="20">
        <f t="shared" si="92"/>
        <v>-0.13320657493644242</v>
      </c>
      <c r="X153" s="20">
        <f t="shared" si="92"/>
        <v>-0.3144716553829304</v>
      </c>
      <c r="Y153" s="20">
        <f t="shared" si="92"/>
        <v>-0.5724187432689196</v>
      </c>
      <c r="Z153" s="20">
        <f t="shared" si="92"/>
        <v>-0.8456316036180906</v>
      </c>
    </row>
    <row r="154" spans="1:26" ht="12.75">
      <c r="A154" s="15" t="s">
        <v>150</v>
      </c>
      <c r="B154" s="55">
        <f>$M$7*0</f>
        <v>0</v>
      </c>
      <c r="C154" s="55">
        <f aca="true" t="shared" si="93" ref="C154:Z154">$M$7*0</f>
        <v>0</v>
      </c>
      <c r="D154" s="55">
        <f t="shared" si="93"/>
        <v>0</v>
      </c>
      <c r="E154" s="55">
        <f t="shared" si="93"/>
        <v>0</v>
      </c>
      <c r="F154" s="55">
        <f t="shared" si="93"/>
        <v>0</v>
      </c>
      <c r="G154" s="55">
        <f t="shared" si="93"/>
        <v>0</v>
      </c>
      <c r="H154" s="55">
        <f t="shared" si="93"/>
        <v>0</v>
      </c>
      <c r="I154" s="55">
        <f t="shared" si="93"/>
        <v>0</v>
      </c>
      <c r="J154" s="55">
        <f t="shared" si="93"/>
        <v>0</v>
      </c>
      <c r="K154" s="55">
        <f t="shared" si="93"/>
        <v>0</v>
      </c>
      <c r="L154" s="55">
        <f t="shared" si="93"/>
        <v>0</v>
      </c>
      <c r="M154" s="55">
        <f t="shared" si="93"/>
        <v>0</v>
      </c>
      <c r="N154" s="55">
        <f t="shared" si="93"/>
        <v>0</v>
      </c>
      <c r="O154" s="55">
        <f t="shared" si="93"/>
        <v>0</v>
      </c>
      <c r="P154" s="55">
        <f t="shared" si="93"/>
        <v>0</v>
      </c>
      <c r="Q154" s="55">
        <f t="shared" si="93"/>
        <v>0</v>
      </c>
      <c r="R154" s="55">
        <f t="shared" si="93"/>
        <v>0</v>
      </c>
      <c r="S154" s="55">
        <f t="shared" si="93"/>
        <v>0</v>
      </c>
      <c r="T154" s="55">
        <f t="shared" si="93"/>
        <v>0</v>
      </c>
      <c r="U154" s="55">
        <f t="shared" si="93"/>
        <v>0</v>
      </c>
      <c r="V154" s="55">
        <f t="shared" si="93"/>
        <v>0</v>
      </c>
      <c r="W154" s="55">
        <f t="shared" si="93"/>
        <v>0</v>
      </c>
      <c r="X154" s="55">
        <f t="shared" si="93"/>
        <v>0</v>
      </c>
      <c r="Y154" s="55">
        <f t="shared" si="93"/>
        <v>0</v>
      </c>
      <c r="Z154" s="55">
        <f t="shared" si="93"/>
        <v>0</v>
      </c>
    </row>
    <row r="155" spans="2:26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>
      <c r="A156" s="15" t="s">
        <v>154</v>
      </c>
      <c r="B156" s="20">
        <f>B152*B147+B153*B148+B154*B47</f>
        <v>0.4152482629754595</v>
      </c>
      <c r="C156" s="20">
        <f aca="true" t="shared" si="94" ref="C156:Z156">C152*C147+C153*C148+C154*C47</f>
        <v>1.4390527464393896</v>
      </c>
      <c r="D156" s="20">
        <f t="shared" si="94"/>
        <v>2.5986620452934814</v>
      </c>
      <c r="E156" s="20">
        <f t="shared" si="94"/>
        <v>3.0064986752834217</v>
      </c>
      <c r="F156" s="20">
        <f t="shared" si="94"/>
        <v>1.8870624306153465</v>
      </c>
      <c r="G156" s="20">
        <f t="shared" si="94"/>
        <v>-0.6660644784562818</v>
      </c>
      <c r="H156" s="20">
        <f t="shared" si="94"/>
        <v>-3.1571718640244777</v>
      </c>
      <c r="I156" s="20">
        <f t="shared" si="94"/>
        <v>-3.5553721934972695</v>
      </c>
      <c r="J156" s="20">
        <f t="shared" si="94"/>
        <v>-2.0036482412166543</v>
      </c>
      <c r="K156" s="20">
        <f t="shared" si="94"/>
        <v>-0.5373116959675353</v>
      </c>
      <c r="L156" s="20">
        <f t="shared" si="94"/>
        <v>0.07419212414922055</v>
      </c>
      <c r="M156" s="20">
        <f t="shared" si="94"/>
        <v>0.20735178092201362</v>
      </c>
      <c r="N156" s="20">
        <f t="shared" si="94"/>
        <v>0.19040338760955583</v>
      </c>
      <c r="O156" s="20">
        <f t="shared" si="94"/>
        <v>0.14463214225423376</v>
      </c>
      <c r="P156" s="20">
        <f t="shared" si="94"/>
        <v>0.10309001986612887</v>
      </c>
      <c r="Q156" s="20">
        <f t="shared" si="94"/>
        <v>0.07224790508732658</v>
      </c>
      <c r="R156" s="20">
        <f t="shared" si="94"/>
        <v>0.051767971079525604</v>
      </c>
      <c r="S156" s="20">
        <f t="shared" si="94"/>
        <v>0.03930215708514655</v>
      </c>
      <c r="T156" s="20">
        <f t="shared" si="94"/>
        <v>0.02914259644363987</v>
      </c>
      <c r="U156" s="20">
        <f t="shared" si="94"/>
        <v>0.006089325871971008</v>
      </c>
      <c r="V156" s="20">
        <f t="shared" si="94"/>
        <v>-0.061227210522801515</v>
      </c>
      <c r="W156" s="20">
        <f t="shared" si="94"/>
        <v>-0.2032269259195364</v>
      </c>
      <c r="X156" s="20">
        <f t="shared" si="94"/>
        <v>-0.3625749569974499</v>
      </c>
      <c r="Y156" s="20">
        <f t="shared" si="94"/>
        <v>-0.27429821924821557</v>
      </c>
      <c r="Z156" s="20">
        <f t="shared" si="94"/>
        <v>0.44132687110111507</v>
      </c>
    </row>
    <row r="157" spans="1:26" ht="12.75">
      <c r="A157" s="15" t="s">
        <v>155</v>
      </c>
      <c r="B157" s="20">
        <f>$L$7*B148</f>
        <v>-0.9769002105323105</v>
      </c>
      <c r="C157" s="20">
        <f aca="true" t="shared" si="95" ref="C157:Z157">$L$7*C148</f>
        <v>-3.080049109079546</v>
      </c>
      <c r="D157" s="20">
        <f t="shared" si="95"/>
        <v>-5.387891718198059</v>
      </c>
      <c r="E157" s="20">
        <f t="shared" si="95"/>
        <v>-7.494195139642465</v>
      </c>
      <c r="F157" s="20">
        <f t="shared" si="95"/>
        <v>-8.954652019336647</v>
      </c>
      <c r="G157" s="20">
        <f t="shared" si="95"/>
        <v>-9.361217549852535</v>
      </c>
      <c r="H157" s="20">
        <f t="shared" si="95"/>
        <v>-8.44931094309195</v>
      </c>
      <c r="I157" s="20">
        <f t="shared" si="95"/>
        <v>-6.342911093932184</v>
      </c>
      <c r="J157" s="20">
        <f t="shared" si="95"/>
        <v>-3.7132252323810273</v>
      </c>
      <c r="K157" s="20">
        <f t="shared" si="95"/>
        <v>-1.3763276913221552</v>
      </c>
      <c r="L157" s="20">
        <f t="shared" si="95"/>
        <v>0.3031865916867617</v>
      </c>
      <c r="M157" s="20">
        <f t="shared" si="95"/>
        <v>1.4030776863150387</v>
      </c>
      <c r="N157" s="20">
        <f t="shared" si="95"/>
        <v>2.1135377137268403</v>
      </c>
      <c r="O157" s="20">
        <f t="shared" si="95"/>
        <v>2.5792887081559863</v>
      </c>
      <c r="P157" s="20">
        <f t="shared" si="95"/>
        <v>2.888713769961495</v>
      </c>
      <c r="Q157" s="20">
        <f t="shared" si="95"/>
        <v>3.0934593719383994</v>
      </c>
      <c r="R157" s="20">
        <f t="shared" si="95"/>
        <v>3.2241351360848842</v>
      </c>
      <c r="S157" s="20">
        <f t="shared" si="95"/>
        <v>3.2995288777547476</v>
      </c>
      <c r="T157" s="20">
        <f t="shared" si="95"/>
        <v>3.329750887868108</v>
      </c>
      <c r="U157" s="20">
        <f t="shared" si="95"/>
        <v>3.3100190841846695</v>
      </c>
      <c r="V157" s="20">
        <f t="shared" si="95"/>
        <v>3.1985198010068476</v>
      </c>
      <c r="W157" s="20">
        <f t="shared" si="95"/>
        <v>2.8831960633072002</v>
      </c>
      <c r="X157" s="20">
        <f t="shared" si="95"/>
        <v>2.178887901420865</v>
      </c>
      <c r="Y157" s="20">
        <f t="shared" si="95"/>
        <v>0.9055818974277705</v>
      </c>
      <c r="Z157" s="20">
        <f t="shared" si="95"/>
        <v>-0.9862743891926725</v>
      </c>
    </row>
    <row r="158" spans="1:26" ht="12.75">
      <c r="A158" s="15" t="s">
        <v>156</v>
      </c>
      <c r="B158" s="20">
        <f>B156+B157</f>
        <v>-0.5616519475568509</v>
      </c>
      <c r="C158" s="20">
        <f aca="true" t="shared" si="96" ref="C158:Z158">C156+C157</f>
        <v>-1.6409963626401565</v>
      </c>
      <c r="D158" s="20">
        <f t="shared" si="96"/>
        <v>-2.7892296729045776</v>
      </c>
      <c r="E158" s="20">
        <f t="shared" si="96"/>
        <v>-4.487696464359043</v>
      </c>
      <c r="F158" s="20">
        <f t="shared" si="96"/>
        <v>-7.067589588721301</v>
      </c>
      <c r="G158" s="20">
        <f t="shared" si="96"/>
        <v>-10.027282028308816</v>
      </c>
      <c r="H158" s="20">
        <f t="shared" si="96"/>
        <v>-11.606482807116429</v>
      </c>
      <c r="I158" s="20">
        <f t="shared" si="96"/>
        <v>-9.898283287429454</v>
      </c>
      <c r="J158" s="20">
        <f t="shared" si="96"/>
        <v>-5.716873473597682</v>
      </c>
      <c r="K158" s="20">
        <f t="shared" si="96"/>
        <v>-1.9136393872896904</v>
      </c>
      <c r="L158" s="20">
        <f t="shared" si="96"/>
        <v>0.37737871583598226</v>
      </c>
      <c r="M158" s="20">
        <f t="shared" si="96"/>
        <v>1.6104294672370523</v>
      </c>
      <c r="N158" s="20">
        <f t="shared" si="96"/>
        <v>2.303941101336396</v>
      </c>
      <c r="O158" s="20">
        <f t="shared" si="96"/>
        <v>2.72392085041022</v>
      </c>
      <c r="P158" s="20">
        <f t="shared" si="96"/>
        <v>2.9918037898276237</v>
      </c>
      <c r="Q158" s="20">
        <f t="shared" si="96"/>
        <v>3.1657072770257257</v>
      </c>
      <c r="R158" s="20">
        <f t="shared" si="96"/>
        <v>3.27590310716441</v>
      </c>
      <c r="S158" s="20">
        <f t="shared" si="96"/>
        <v>3.338831034839894</v>
      </c>
      <c r="T158" s="20">
        <f t="shared" si="96"/>
        <v>3.358893484311748</v>
      </c>
      <c r="U158" s="20">
        <f t="shared" si="96"/>
        <v>3.3161084100566405</v>
      </c>
      <c r="V158" s="20">
        <f t="shared" si="96"/>
        <v>3.137292590484046</v>
      </c>
      <c r="W158" s="20">
        <f t="shared" si="96"/>
        <v>2.6799691373876637</v>
      </c>
      <c r="X158" s="20">
        <f t="shared" si="96"/>
        <v>1.8163129444234152</v>
      </c>
      <c r="Y158" s="20">
        <f t="shared" si="96"/>
        <v>0.631283678179555</v>
      </c>
      <c r="Z158" s="20">
        <f t="shared" si="96"/>
        <v>-0.5449475180915575</v>
      </c>
    </row>
    <row r="159" spans="1:26" ht="12.75">
      <c r="A159" s="15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>
      <c r="A160" s="15" t="s">
        <v>151</v>
      </c>
      <c r="B160" s="20">
        <f>((B147^2+B148^2)*$K$7+$M$7*B47^2)/2</f>
        <v>0.11193981125013365</v>
      </c>
      <c r="C160" s="20">
        <f aca="true" t="shared" si="97" ref="C160:Z160">((C147^2+C148^2)*$K$7+$M$7*C47^2)/2</f>
        <v>0.36298949898938176</v>
      </c>
      <c r="D160" s="20">
        <f t="shared" si="97"/>
        <v>0.9147372998121939</v>
      </c>
      <c r="E160" s="20">
        <f t="shared" si="97"/>
        <v>1.6555803725435931</v>
      </c>
      <c r="F160" s="20">
        <f t="shared" si="97"/>
        <v>2.2882693490845036</v>
      </c>
      <c r="G160" s="20">
        <f t="shared" si="97"/>
        <v>2.4492261178366714</v>
      </c>
      <c r="H160" s="20">
        <f t="shared" si="97"/>
        <v>1.960366460600633</v>
      </c>
      <c r="I160" s="20">
        <f t="shared" si="97"/>
        <v>1.087396944600446</v>
      </c>
      <c r="J160" s="20">
        <f t="shared" si="97"/>
        <v>0.3799889943558651</v>
      </c>
      <c r="K160" s="20">
        <f t="shared" si="97"/>
        <v>0.08837592043619392</v>
      </c>
      <c r="L160" s="20">
        <f t="shared" si="97"/>
        <v>0.06522590972701618</v>
      </c>
      <c r="M160" s="20">
        <f t="shared" si="97"/>
        <v>0.12684860023787825</v>
      </c>
      <c r="N160" s="20">
        <f t="shared" si="97"/>
        <v>0.19232397278205465</v>
      </c>
      <c r="O160" s="20">
        <f t="shared" si="97"/>
        <v>0.2410863625880053</v>
      </c>
      <c r="P160" s="20">
        <f t="shared" si="97"/>
        <v>0.27265320282991745</v>
      </c>
      <c r="Q160" s="20">
        <f t="shared" si="97"/>
        <v>0.2911107242471875</v>
      </c>
      <c r="R160" s="20">
        <f t="shared" si="97"/>
        <v>0.3005019591850198</v>
      </c>
      <c r="S160" s="20">
        <f t="shared" si="97"/>
        <v>0.30377225820774134</v>
      </c>
      <c r="T160" s="20">
        <f t="shared" si="97"/>
        <v>0.30248754343585604</v>
      </c>
      <c r="U160" s="20">
        <f t="shared" si="97"/>
        <v>0.2957246972370478</v>
      </c>
      <c r="V160" s="20">
        <f t="shared" si="97"/>
        <v>0.2769809431627142</v>
      </c>
      <c r="W160" s="20">
        <f t="shared" si="97"/>
        <v>0.23201849330356927</v>
      </c>
      <c r="X160" s="20">
        <f t="shared" si="97"/>
        <v>0.15172619145144609</v>
      </c>
      <c r="Y160" s="20">
        <f t="shared" si="97"/>
        <v>0.07313329501721454</v>
      </c>
      <c r="Z160" s="20">
        <f t="shared" si="97"/>
        <v>0.1140984318468887</v>
      </c>
    </row>
    <row r="161" spans="1:26" ht="12.75">
      <c r="A161" s="15" t="s">
        <v>152</v>
      </c>
      <c r="B161" s="20">
        <f>$L$7*(B146-$J$7)</f>
        <v>0</v>
      </c>
      <c r="C161" s="20">
        <f aca="true" t="shared" si="98" ref="C161:Z161">$L$7*(C146-$J$7)</f>
        <v>-0.5299933764613718</v>
      </c>
      <c r="D161" s="20">
        <f t="shared" si="98"/>
        <v>-1.6079258645353363</v>
      </c>
      <c r="E161" s="20">
        <f t="shared" si="98"/>
        <v>-3.189204814806561</v>
      </c>
      <c r="F161" s="20">
        <f t="shared" si="98"/>
        <v>-5.163129474298483</v>
      </c>
      <c r="G161" s="20">
        <f t="shared" si="98"/>
        <v>-7.346080638355312</v>
      </c>
      <c r="H161" s="20">
        <f t="shared" si="98"/>
        <v>-9.486403846141533</v>
      </c>
      <c r="I161" s="20">
        <f t="shared" si="98"/>
        <v>-11.303892536287963</v>
      </c>
      <c r="J161" s="20">
        <f t="shared" si="98"/>
        <v>-12.581311686150903</v>
      </c>
      <c r="K161" s="20">
        <f t="shared" si="98"/>
        <v>-13.252468503658498</v>
      </c>
      <c r="L161" s="20">
        <f t="shared" si="98"/>
        <v>-13.38888698624826</v>
      </c>
      <c r="M161" s="20">
        <f t="shared" si="98"/>
        <v>-13.110736219139838</v>
      </c>
      <c r="N161" s="20">
        <f t="shared" si="98"/>
        <v>-12.522281981138553</v>
      </c>
      <c r="O161" s="20">
        <f t="shared" si="98"/>
        <v>-11.695848432709981</v>
      </c>
      <c r="P161" s="20">
        <f t="shared" si="98"/>
        <v>-10.678506642307095</v>
      </c>
      <c r="Q161" s="20">
        <f t="shared" si="98"/>
        <v>-9.503123711413895</v>
      </c>
      <c r="R161" s="20">
        <f t="shared" si="98"/>
        <v>-8.198374921672357</v>
      </c>
      <c r="S161" s="20">
        <f t="shared" si="98"/>
        <v>-6.7972320656004435</v>
      </c>
      <c r="T161" s="20">
        <f t="shared" si="98"/>
        <v>-5.3440649346402385</v>
      </c>
      <c r="U161" s="20">
        <f t="shared" si="98"/>
        <v>-3.899849251055316</v>
      </c>
      <c r="V161" s="20">
        <f t="shared" si="98"/>
        <v>-2.544294199453157</v>
      </c>
      <c r="W161" s="20">
        <f t="shared" si="98"/>
        <v>-1.3735948071575264</v>
      </c>
      <c r="X161" s="20">
        <f t="shared" si="98"/>
        <v>-0.4932209423423267</v>
      </c>
      <c r="Y161" s="20">
        <f t="shared" si="98"/>
        <v>-0.0063952994552874</v>
      </c>
      <c r="Z161" s="20">
        <f t="shared" si="98"/>
        <v>-3.2673863614718357E-15</v>
      </c>
    </row>
    <row r="162" spans="1:26" ht="12.75">
      <c r="A162" s="15" t="s">
        <v>153</v>
      </c>
      <c r="B162" s="20">
        <f>B160+B161</f>
        <v>0.11193981125013365</v>
      </c>
      <c r="C162" s="20">
        <f aca="true" t="shared" si="99" ref="C162:Z162">C160+C161</f>
        <v>-0.16700387747199003</v>
      </c>
      <c r="D162" s="20">
        <f t="shared" si="99"/>
        <v>-0.6931885647231424</v>
      </c>
      <c r="E162" s="20">
        <f t="shared" si="99"/>
        <v>-1.533624442262968</v>
      </c>
      <c r="F162" s="20">
        <f t="shared" si="99"/>
        <v>-2.874860125213979</v>
      </c>
      <c r="G162" s="20">
        <f t="shared" si="99"/>
        <v>-4.896854520518641</v>
      </c>
      <c r="H162" s="20">
        <f t="shared" si="99"/>
        <v>-7.5260373855409</v>
      </c>
      <c r="I162" s="20">
        <f t="shared" si="99"/>
        <v>-10.216495591687517</v>
      </c>
      <c r="J162" s="20">
        <f t="shared" si="99"/>
        <v>-12.201322691795038</v>
      </c>
      <c r="K162" s="20">
        <f t="shared" si="99"/>
        <v>-13.164092583222304</v>
      </c>
      <c r="L162" s="20">
        <f t="shared" si="99"/>
        <v>-13.323661076521244</v>
      </c>
      <c r="M162" s="20">
        <f t="shared" si="99"/>
        <v>-12.98388761890196</v>
      </c>
      <c r="N162" s="20">
        <f t="shared" si="99"/>
        <v>-12.329958008356499</v>
      </c>
      <c r="O162" s="20">
        <f t="shared" si="99"/>
        <v>-11.454762070121976</v>
      </c>
      <c r="P162" s="20">
        <f t="shared" si="99"/>
        <v>-10.405853439477177</v>
      </c>
      <c r="Q162" s="20">
        <f t="shared" si="99"/>
        <v>-9.212012987166707</v>
      </c>
      <c r="R162" s="20">
        <f t="shared" si="99"/>
        <v>-7.897872962487337</v>
      </c>
      <c r="S162" s="20">
        <f t="shared" si="99"/>
        <v>-6.493459807392702</v>
      </c>
      <c r="T162" s="20">
        <f t="shared" si="99"/>
        <v>-5.041577391204383</v>
      </c>
      <c r="U162" s="20">
        <f t="shared" si="99"/>
        <v>-3.6041245538182682</v>
      </c>
      <c r="V162" s="20">
        <f t="shared" si="99"/>
        <v>-2.267313256290443</v>
      </c>
      <c r="W162" s="20">
        <f t="shared" si="99"/>
        <v>-1.1415763138539572</v>
      </c>
      <c r="X162" s="20">
        <f t="shared" si="99"/>
        <v>-0.34149475089088066</v>
      </c>
      <c r="Y162" s="20">
        <f t="shared" si="99"/>
        <v>0.06673799556192714</v>
      </c>
      <c r="Z162" s="20">
        <f t="shared" si="99"/>
        <v>0.11409843184688544</v>
      </c>
    </row>
    <row r="163" spans="2:26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3.5" thickBot="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3.5" thickBot="1">
      <c r="A165" s="51" t="s">
        <v>157</v>
      </c>
    </row>
    <row r="166" spans="1:26" ht="12.75">
      <c r="A166" s="15" t="s">
        <v>126</v>
      </c>
      <c r="B166" s="20">
        <f>B70+($I$8-$B$70)*COS(B53)-($J$8-$B$71)*SIN(B53)</f>
        <v>2</v>
      </c>
      <c r="C166" s="20">
        <f aca="true" t="shared" si="100" ref="C166:Z166">C70+($I$8-$B$70)*COS(C53)-($J$8-$B$71)*SIN(C53)</f>
        <v>2.1649998549203127</v>
      </c>
      <c r="D166" s="20">
        <f t="shared" si="100"/>
        <v>2.2497422115106662</v>
      </c>
      <c r="E166" s="20">
        <f t="shared" si="100"/>
        <v>2.2450525906726626</v>
      </c>
      <c r="F166" s="20">
        <f t="shared" si="100"/>
        <v>2.1544757127600977</v>
      </c>
      <c r="G166" s="20">
        <f t="shared" si="100"/>
        <v>1.9944529237309765</v>
      </c>
      <c r="H166" s="20">
        <f t="shared" si="100"/>
        <v>1.7935540790197146</v>
      </c>
      <c r="I166" s="20">
        <f t="shared" si="100"/>
        <v>1.5878727934210246</v>
      </c>
      <c r="J166" s="20">
        <f t="shared" si="100"/>
        <v>1.4095938231446772</v>
      </c>
      <c r="K166" s="20">
        <f t="shared" si="100"/>
        <v>1.274299014294135</v>
      </c>
      <c r="L166" s="20">
        <f t="shared" si="100"/>
        <v>1.1796347279250663</v>
      </c>
      <c r="M166" s="20">
        <f t="shared" si="100"/>
        <v>1.1145209148327357</v>
      </c>
      <c r="N166" s="20">
        <f t="shared" si="100"/>
        <v>1.0672184793824901</v>
      </c>
      <c r="O166" s="20">
        <f t="shared" si="100"/>
        <v>1.0283495943586793</v>
      </c>
      <c r="P166" s="20">
        <f t="shared" si="100"/>
        <v>0.991543114687173</v>
      </c>
      <c r="Q166" s="20">
        <f t="shared" si="100"/>
        <v>0.9541502276216073</v>
      </c>
      <c r="R166" s="20">
        <f t="shared" si="100"/>
        <v>0.9189002213456241</v>
      </c>
      <c r="S166" s="20">
        <f t="shared" si="100"/>
        <v>0.8959963522809259</v>
      </c>
      <c r="T166" s="20">
        <f t="shared" si="100"/>
        <v>0.9035614653049153</v>
      </c>
      <c r="U166" s="20">
        <f t="shared" si="100"/>
        <v>0.9633676801384532</v>
      </c>
      <c r="V166" s="20">
        <f t="shared" si="100"/>
        <v>1.0910028388367095</v>
      </c>
      <c r="W166" s="20">
        <f t="shared" si="100"/>
        <v>1.2853663795594639</v>
      </c>
      <c r="X166" s="20">
        <f t="shared" si="100"/>
        <v>1.5253463289807532</v>
      </c>
      <c r="Y166" s="20">
        <f t="shared" si="100"/>
        <v>1.7761430329914167</v>
      </c>
      <c r="Z166" s="20">
        <f t="shared" si="100"/>
        <v>2</v>
      </c>
    </row>
    <row r="167" spans="1:26" ht="12.75">
      <c r="A167" s="15" t="s">
        <v>127</v>
      </c>
      <c r="B167" s="20">
        <f>B71+($J$8-$B$71)*COS(B53)+($I$8-$B$70)*SIN(B53)</f>
        <v>0</v>
      </c>
      <c r="C167" s="20">
        <f aca="true" t="shared" si="101" ref="C167:Z167">C71+($J$8-$B$71)*COS(C53)+($I$8-$B$70)*SIN(C53)</f>
        <v>0.12874324072592888</v>
      </c>
      <c r="D167" s="20">
        <f t="shared" si="101"/>
        <v>0.19514357818778602</v>
      </c>
      <c r="E167" s="20">
        <f t="shared" si="101"/>
        <v>0.1917814924165444</v>
      </c>
      <c r="F167" s="20">
        <f t="shared" si="101"/>
        <v>0.12135029924389706</v>
      </c>
      <c r="G167" s="20">
        <f t="shared" si="101"/>
        <v>-0.0030461734610516267</v>
      </c>
      <c r="H167" s="20">
        <f t="shared" si="101"/>
        <v>-0.158433121485482</v>
      </c>
      <c r="I167" s="20">
        <f t="shared" si="101"/>
        <v>-0.31579069978352026</v>
      </c>
      <c r="J167" s="20">
        <f t="shared" si="101"/>
        <v>-0.44962823924428175</v>
      </c>
      <c r="K167" s="20">
        <f t="shared" si="101"/>
        <v>-0.5484789140742944</v>
      </c>
      <c r="L167" s="20">
        <f t="shared" si="101"/>
        <v>-0.6156795428682876</v>
      </c>
      <c r="M167" s="20">
        <f t="shared" si="101"/>
        <v>-0.6613538370619113</v>
      </c>
      <c r="N167" s="20">
        <f t="shared" si="101"/>
        <v>-0.6955625457858313</v>
      </c>
      <c r="O167" s="20">
        <f t="shared" si="101"/>
        <v>-0.725841722187726</v>
      </c>
      <c r="P167" s="20">
        <f t="shared" si="101"/>
        <v>-0.7568183156511009</v>
      </c>
      <c r="Q167" s="20">
        <f t="shared" si="101"/>
        <v>-0.7898471156816056</v>
      </c>
      <c r="R167" s="20">
        <f t="shared" si="101"/>
        <v>-0.8219479889218289</v>
      </c>
      <c r="S167" s="20">
        <f t="shared" si="101"/>
        <v>-0.8444098508028697</v>
      </c>
      <c r="T167" s="20">
        <f t="shared" si="101"/>
        <v>-0.8426323154195487</v>
      </c>
      <c r="U167" s="20">
        <f t="shared" si="101"/>
        <v>-0.7995028290672175</v>
      </c>
      <c r="V167" s="20">
        <f t="shared" si="101"/>
        <v>-0.702927335855335</v>
      </c>
      <c r="W167" s="20">
        <f t="shared" si="101"/>
        <v>-0.5538061170596152</v>
      </c>
      <c r="X167" s="20">
        <f t="shared" si="101"/>
        <v>-0.36852546523649515</v>
      </c>
      <c r="Y167" s="20">
        <f t="shared" si="101"/>
        <v>-0.1741099154575678</v>
      </c>
      <c r="Z167" s="20">
        <f t="shared" si="101"/>
        <v>-1.6653345369377348E-16</v>
      </c>
    </row>
    <row r="168" spans="1:26" ht="12.75">
      <c r="A168" s="15" t="s">
        <v>128</v>
      </c>
      <c r="B168" s="20">
        <f>B73-B47*(B167-B71)</f>
        <v>0.7599866609168694</v>
      </c>
      <c r="C168" s="20">
        <f>C73-C47*(C167-C71)</f>
        <v>0.48680447049265735</v>
      </c>
      <c r="D168" s="20">
        <f>D73-D47*(D167-D71)</f>
        <v>0.16258905926102385</v>
      </c>
      <c r="E168" s="20">
        <f aca="true" t="shared" si="102" ref="E168:Z168">E73-E47*(($I$8-$B$70)*SIN(E53)+($J$8-$B$71)*COS(E53))</f>
        <v>-0.20501857883761532</v>
      </c>
      <c r="F168" s="20">
        <f t="shared" si="102"/>
        <v>-0.5465795229679737</v>
      </c>
      <c r="G168" s="20">
        <f t="shared" si="102"/>
        <v>-0.7889852750161812</v>
      </c>
      <c r="H168" s="20">
        <f t="shared" si="102"/>
        <v>-0.8743931633089397</v>
      </c>
      <c r="I168" s="20">
        <f t="shared" si="102"/>
        <v>-0.7915299665002529</v>
      </c>
      <c r="J168" s="20">
        <f t="shared" si="102"/>
        <v>-0.6027599503997335</v>
      </c>
      <c r="K168" s="20">
        <f t="shared" si="102"/>
        <v>-0.40604687881357865</v>
      </c>
      <c r="L168" s="20">
        <f t="shared" si="102"/>
        <v>-0.2599324740694663</v>
      </c>
      <c r="M168" s="20">
        <f t="shared" si="102"/>
        <v>-0.17041599023483034</v>
      </c>
      <c r="N168" s="20">
        <f t="shared" si="102"/>
        <v>-0.12309853941940671</v>
      </c>
      <c r="O168" s="20">
        <f t="shared" si="102"/>
        <v>-0.10295036574665946</v>
      </c>
      <c r="P168" s="20">
        <f t="shared" si="102"/>
        <v>-0.09715338277740285</v>
      </c>
      <c r="Q168" s="20">
        <f t="shared" si="102"/>
        <v>-0.09277261844476804</v>
      </c>
      <c r="R168" s="20">
        <f t="shared" si="102"/>
        <v>-0.07467389131327345</v>
      </c>
      <c r="S168" s="20">
        <f t="shared" si="102"/>
        <v>-0.025830883897857225</v>
      </c>
      <c r="T168" s="20">
        <f t="shared" si="102"/>
        <v>0.06880128197177965</v>
      </c>
      <c r="U168" s="20">
        <f t="shared" si="102"/>
        <v>0.21580018982805915</v>
      </c>
      <c r="V168" s="20">
        <f t="shared" si="102"/>
        <v>0.40702179654525694</v>
      </c>
      <c r="W168" s="20">
        <f t="shared" si="102"/>
        <v>0.6139343502683042</v>
      </c>
      <c r="X168" s="20">
        <f t="shared" si="102"/>
        <v>0.7838301355108471</v>
      </c>
      <c r="Y168" s="20">
        <f t="shared" si="102"/>
        <v>0.8509180528451243</v>
      </c>
      <c r="Z168" s="20">
        <f t="shared" si="102"/>
        <v>0.7672793717404722</v>
      </c>
    </row>
    <row r="169" spans="1:26" ht="12.75">
      <c r="A169" s="15" t="s">
        <v>129</v>
      </c>
      <c r="B169" s="32">
        <f>B74+B47*(B166-B70)</f>
        <v>0.5920773237612048</v>
      </c>
      <c r="C169" s="32">
        <f>C74+C47*(C166-C70)</f>
        <v>0.38056088278091993</v>
      </c>
      <c r="D169" s="32">
        <f>D74+D47*(D166-D70)</f>
        <v>0.1281534850415821</v>
      </c>
      <c r="E169" s="32">
        <f aca="true" t="shared" si="103" ref="E169:Z169">E74+E47*(($I$8-$B$70)*COS(E53)-($J$8-$B$71)*SIN(E53))</f>
        <v>-0.15889743905838963</v>
      </c>
      <c r="F169" s="32">
        <f t="shared" si="103"/>
        <v>-0.4253240215249983</v>
      </c>
      <c r="G169" s="32">
        <f t="shared" si="103"/>
        <v>-0.6123441549145237</v>
      </c>
      <c r="H169" s="32">
        <f t="shared" si="103"/>
        <v>-0.6734193199217456</v>
      </c>
      <c r="I169" s="32">
        <f t="shared" si="103"/>
        <v>-0.6006050299020593</v>
      </c>
      <c r="J169" s="32">
        <f t="shared" si="103"/>
        <v>-0.4466143492021397</v>
      </c>
      <c r="K169" s="32">
        <f t="shared" si="103"/>
        <v>-0.29190912337226355</v>
      </c>
      <c r="L169" s="32">
        <f t="shared" si="103"/>
        <v>-0.1824227031039468</v>
      </c>
      <c r="M169" s="32">
        <f t="shared" si="103"/>
        <v>-0.12041898541726037</v>
      </c>
      <c r="N169" s="32">
        <f t="shared" si="103"/>
        <v>-0.09204638105536958</v>
      </c>
      <c r="O169" s="32">
        <f t="shared" si="103"/>
        <v>-0.08366227264119472</v>
      </c>
      <c r="P169" s="32">
        <f t="shared" si="103"/>
        <v>-0.08418250633267435</v>
      </c>
      <c r="Q169" s="32">
        <f t="shared" si="103"/>
        <v>-0.08323498369460791</v>
      </c>
      <c r="R169" s="32">
        <f t="shared" si="103"/>
        <v>-0.06941214129034529</v>
      </c>
      <c r="S169" s="32">
        <f t="shared" si="103"/>
        <v>-0.030277691032392643</v>
      </c>
      <c r="T169" s="32">
        <f t="shared" si="103"/>
        <v>0.04495658092641817</v>
      </c>
      <c r="U169" s="32">
        <f t="shared" si="103"/>
        <v>0.16075696819413993</v>
      </c>
      <c r="V169" s="32">
        <f t="shared" si="103"/>
        <v>0.3106452958078941</v>
      </c>
      <c r="W169" s="32">
        <f t="shared" si="103"/>
        <v>0.47274828211418557</v>
      </c>
      <c r="X169" s="32">
        <f t="shared" si="103"/>
        <v>0.60650075206125</v>
      </c>
      <c r="Y169" s="32">
        <f t="shared" si="103"/>
        <v>0.660781679147601</v>
      </c>
      <c r="Z169" s="32">
        <f t="shared" si="103"/>
        <v>0.5977588033574307</v>
      </c>
    </row>
    <row r="170" spans="1:26" ht="12.75">
      <c r="A170" s="15" t="s">
        <v>130</v>
      </c>
      <c r="B170" s="20">
        <f>B80-B51*(B167-B71)-B47^2*(B166-B70)</f>
        <v>-1.0415990555754564</v>
      </c>
      <c r="C170" s="20">
        <f>C80-C51*(C167-C71)-C47^2*(C166-C70)</f>
        <v>-1.0353957602262216</v>
      </c>
      <c r="D170" s="20">
        <f>D80-D51*(D167-D71)-D47^2*(D166-D70)</f>
        <v>-1.2446407531094277</v>
      </c>
      <c r="E170" s="20">
        <f aca="true" t="shared" si="104" ref="E170:Z170">E80-E51*(($I$8-$B$70)*SIN(E53)+($J$8-$B$71)*COS(E53))-E47^2*(($I$8-$B$70)*COS(E53)-($J$8-$B$71)*SIN(E53))</f>
        <v>-1.490483700596411</v>
      </c>
      <c r="F170" s="20">
        <f t="shared" si="104"/>
        <v>-1.4428211482314666</v>
      </c>
      <c r="G170" s="20">
        <f t="shared" si="104"/>
        <v>-1.0531683183928517</v>
      </c>
      <c r="H170" s="20">
        <f t="shared" si="104"/>
        <v>-0.38479977235796126</v>
      </c>
      <c r="I170" s="20">
        <f t="shared" si="104"/>
        <v>0.34210779047312523</v>
      </c>
      <c r="J170" s="20">
        <f t="shared" si="104"/>
        <v>0.7806300993385873</v>
      </c>
      <c r="K170" s="20">
        <f t="shared" si="104"/>
        <v>0.7785754622812352</v>
      </c>
      <c r="L170" s="20">
        <f t="shared" si="104"/>
        <v>0.542367701411978</v>
      </c>
      <c r="M170" s="20">
        <f t="shared" si="104"/>
        <v>0.3102761088516527</v>
      </c>
      <c r="N170" s="20">
        <f t="shared" si="104"/>
        <v>0.15358984942647275</v>
      </c>
      <c r="O170" s="20">
        <f t="shared" si="104"/>
        <v>0.060920015551507514</v>
      </c>
      <c r="P170" s="20">
        <f t="shared" si="104"/>
        <v>0.015215022888585648</v>
      </c>
      <c r="Q170" s="20">
        <f t="shared" si="104"/>
        <v>0.009334894243615575</v>
      </c>
      <c r="R170" s="20">
        <f t="shared" si="104"/>
        <v>0.0424834716419101</v>
      </c>
      <c r="S170" s="20">
        <f t="shared" si="104"/>
        <v>0.11374439396135028</v>
      </c>
      <c r="T170" s="20">
        <f t="shared" si="104"/>
        <v>0.21626923750810187</v>
      </c>
      <c r="U170" s="20">
        <f t="shared" si="104"/>
        <v>0.33540607070601586</v>
      </c>
      <c r="V170" s="20">
        <f t="shared" si="104"/>
        <v>0.4496817213869324</v>
      </c>
      <c r="W170" s="20">
        <f t="shared" si="104"/>
        <v>0.5216431169369642</v>
      </c>
      <c r="X170" s="20">
        <f t="shared" si="104"/>
        <v>0.4761928305557913</v>
      </c>
      <c r="Y170" s="20">
        <f t="shared" si="104"/>
        <v>0.2157259681124279</v>
      </c>
      <c r="Z170" s="20">
        <f t="shared" si="104"/>
        <v>-0.2883808294843186</v>
      </c>
    </row>
    <row r="171" spans="1:26" ht="12.75">
      <c r="A171" s="15" t="s">
        <v>131</v>
      </c>
      <c r="B171" s="20">
        <f>B81+B51*(B166-B70)-B47^2*(B167-B71)</f>
        <v>-0.7998990805873767</v>
      </c>
      <c r="C171" s="20">
        <f>C81+C51*(C166-C70)-C47^2*(C167-C71)</f>
        <v>-0.805180331598186</v>
      </c>
      <c r="D171" s="20">
        <f>D81+D51*(D166-D70)-D47^2*(D167-D71)</f>
        <v>-0.9760361413269578</v>
      </c>
      <c r="E171" s="20">
        <f aca="true" t="shared" si="105" ref="E171:Z171">E81+E51*(($I$8-$B$70)*COS(E53)-($J$8-$B$71)*SIN(E53))-E47^2*(($I$8-$B$70)*SIN(E53)+($J$8-$B$71)*COS(E53))</f>
        <v>-1.1651106483033433</v>
      </c>
      <c r="F171" s="20">
        <f t="shared" si="105"/>
        <v>-1.1177746898606458</v>
      </c>
      <c r="G171" s="20">
        <f t="shared" si="105"/>
        <v>-0.7965573933358235</v>
      </c>
      <c r="H171" s="20">
        <f t="shared" si="105"/>
        <v>-0.2586097653179066</v>
      </c>
      <c r="I171" s="20">
        <f t="shared" si="105"/>
        <v>0.3077163694613018</v>
      </c>
      <c r="J171" s="20">
        <f t="shared" si="105"/>
        <v>0.625954643089309</v>
      </c>
      <c r="K171" s="20">
        <f t="shared" si="105"/>
        <v>0.59649782661108</v>
      </c>
      <c r="L171" s="20">
        <f t="shared" si="105"/>
        <v>0.3968239563066238</v>
      </c>
      <c r="M171" s="20">
        <f t="shared" si="105"/>
        <v>0.2124103259703818</v>
      </c>
      <c r="N171" s="20">
        <f t="shared" si="105"/>
        <v>0.09406434786412234</v>
      </c>
      <c r="O171" s="20">
        <f t="shared" si="105"/>
        <v>0.029223204861470536</v>
      </c>
      <c r="P171" s="20">
        <f t="shared" si="105"/>
        <v>0.0018313541530803942</v>
      </c>
      <c r="Q171" s="20">
        <f t="shared" si="105"/>
        <v>0.004328428790495054</v>
      </c>
      <c r="R171" s="20">
        <f t="shared" si="105"/>
        <v>0.03495922646532965</v>
      </c>
      <c r="S171" s="20">
        <f t="shared" si="105"/>
        <v>0.09277699497381332</v>
      </c>
      <c r="T171" s="20">
        <f t="shared" si="105"/>
        <v>0.17303601572248764</v>
      </c>
      <c r="U171" s="20">
        <f t="shared" si="105"/>
        <v>0.2654275864827493</v>
      </c>
      <c r="V171" s="20">
        <f t="shared" si="105"/>
        <v>0.3541723771253918</v>
      </c>
      <c r="W171" s="20">
        <f t="shared" si="105"/>
        <v>0.41012507372582135</v>
      </c>
      <c r="X171" s="20">
        <f t="shared" si="105"/>
        <v>0.37392120343712343</v>
      </c>
      <c r="Y171" s="20">
        <f t="shared" si="105"/>
        <v>0.16878963806628078</v>
      </c>
      <c r="Z171" s="20">
        <f t="shared" si="105"/>
        <v>-0.22737177498833464</v>
      </c>
    </row>
    <row r="172" spans="2:26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>
      <c r="A173" s="15" t="s">
        <v>132</v>
      </c>
      <c r="B173" s="20">
        <f>$K$8*B170</f>
        <v>-1.0415990555754564</v>
      </c>
      <c r="C173" s="20">
        <f aca="true" t="shared" si="106" ref="C173:Z173">$K$8*C170</f>
        <v>-1.0353957602262216</v>
      </c>
      <c r="D173" s="20">
        <f t="shared" si="106"/>
        <v>-1.2446407531094277</v>
      </c>
      <c r="E173" s="20">
        <f t="shared" si="106"/>
        <v>-1.490483700596411</v>
      </c>
      <c r="F173" s="20">
        <f t="shared" si="106"/>
        <v>-1.4428211482314666</v>
      </c>
      <c r="G173" s="20">
        <f t="shared" si="106"/>
        <v>-1.0531683183928517</v>
      </c>
      <c r="H173" s="20">
        <f t="shared" si="106"/>
        <v>-0.38479977235796126</v>
      </c>
      <c r="I173" s="20">
        <f t="shared" si="106"/>
        <v>0.34210779047312523</v>
      </c>
      <c r="J173" s="20">
        <f t="shared" si="106"/>
        <v>0.7806300993385873</v>
      </c>
      <c r="K173" s="20">
        <f t="shared" si="106"/>
        <v>0.7785754622812352</v>
      </c>
      <c r="L173" s="20">
        <f t="shared" si="106"/>
        <v>0.542367701411978</v>
      </c>
      <c r="M173" s="20">
        <f t="shared" si="106"/>
        <v>0.3102761088516527</v>
      </c>
      <c r="N173" s="20">
        <f t="shared" si="106"/>
        <v>0.15358984942647275</v>
      </c>
      <c r="O173" s="20">
        <f t="shared" si="106"/>
        <v>0.060920015551507514</v>
      </c>
      <c r="P173" s="20">
        <f t="shared" si="106"/>
        <v>0.015215022888585648</v>
      </c>
      <c r="Q173" s="20">
        <f t="shared" si="106"/>
        <v>0.009334894243615575</v>
      </c>
      <c r="R173" s="20">
        <f t="shared" si="106"/>
        <v>0.0424834716419101</v>
      </c>
      <c r="S173" s="20">
        <f t="shared" si="106"/>
        <v>0.11374439396135028</v>
      </c>
      <c r="T173" s="20">
        <f t="shared" si="106"/>
        <v>0.21626923750810187</v>
      </c>
      <c r="U173" s="20">
        <f t="shared" si="106"/>
        <v>0.33540607070601586</v>
      </c>
      <c r="V173" s="20">
        <f t="shared" si="106"/>
        <v>0.4496817213869324</v>
      </c>
      <c r="W173" s="20">
        <f t="shared" si="106"/>
        <v>0.5216431169369642</v>
      </c>
      <c r="X173" s="20">
        <f t="shared" si="106"/>
        <v>0.4761928305557913</v>
      </c>
      <c r="Y173" s="20">
        <f t="shared" si="106"/>
        <v>0.2157259681124279</v>
      </c>
      <c r="Z173" s="20">
        <f t="shared" si="106"/>
        <v>-0.2883808294843186</v>
      </c>
    </row>
    <row r="174" spans="1:26" ht="12.75">
      <c r="A174" s="15" t="s">
        <v>133</v>
      </c>
      <c r="B174" s="20">
        <f>$K$8*B171</f>
        <v>-0.7998990805873767</v>
      </c>
      <c r="C174" s="20">
        <f aca="true" t="shared" si="107" ref="C174:Z174">$K$8*C171</f>
        <v>-0.805180331598186</v>
      </c>
      <c r="D174" s="20">
        <f t="shared" si="107"/>
        <v>-0.9760361413269578</v>
      </c>
      <c r="E174" s="20">
        <f t="shared" si="107"/>
        <v>-1.1651106483033433</v>
      </c>
      <c r="F174" s="20">
        <f t="shared" si="107"/>
        <v>-1.1177746898606458</v>
      </c>
      <c r="G174" s="20">
        <f t="shared" si="107"/>
        <v>-0.7965573933358235</v>
      </c>
      <c r="H174" s="20">
        <f t="shared" si="107"/>
        <v>-0.2586097653179066</v>
      </c>
      <c r="I174" s="20">
        <f t="shared" si="107"/>
        <v>0.3077163694613018</v>
      </c>
      <c r="J174" s="20">
        <f t="shared" si="107"/>
        <v>0.625954643089309</v>
      </c>
      <c r="K174" s="20">
        <f t="shared" si="107"/>
        <v>0.59649782661108</v>
      </c>
      <c r="L174" s="20">
        <f t="shared" si="107"/>
        <v>0.3968239563066238</v>
      </c>
      <c r="M174" s="20">
        <f t="shared" si="107"/>
        <v>0.2124103259703818</v>
      </c>
      <c r="N174" s="20">
        <f t="shared" si="107"/>
        <v>0.09406434786412234</v>
      </c>
      <c r="O174" s="20">
        <f t="shared" si="107"/>
        <v>0.029223204861470536</v>
      </c>
      <c r="P174" s="20">
        <f t="shared" si="107"/>
        <v>0.0018313541530803942</v>
      </c>
      <c r="Q174" s="20">
        <f t="shared" si="107"/>
        <v>0.004328428790495054</v>
      </c>
      <c r="R174" s="20">
        <f t="shared" si="107"/>
        <v>0.03495922646532965</v>
      </c>
      <c r="S174" s="20">
        <f t="shared" si="107"/>
        <v>0.09277699497381332</v>
      </c>
      <c r="T174" s="20">
        <f t="shared" si="107"/>
        <v>0.17303601572248764</v>
      </c>
      <c r="U174" s="20">
        <f t="shared" si="107"/>
        <v>0.2654275864827493</v>
      </c>
      <c r="V174" s="20">
        <f t="shared" si="107"/>
        <v>0.3541723771253918</v>
      </c>
      <c r="W174" s="20">
        <f t="shared" si="107"/>
        <v>0.41012507372582135</v>
      </c>
      <c r="X174" s="20">
        <f t="shared" si="107"/>
        <v>0.37392120343712343</v>
      </c>
      <c r="Y174" s="20">
        <f t="shared" si="107"/>
        <v>0.16878963806628078</v>
      </c>
      <c r="Z174" s="20">
        <f t="shared" si="107"/>
        <v>-0.22737177498833464</v>
      </c>
    </row>
    <row r="175" spans="1:26" ht="12.75">
      <c r="A175" s="15" t="s">
        <v>134</v>
      </c>
      <c r="B175" s="20">
        <f>$M$8*B51</f>
        <v>-0.3104607078348253</v>
      </c>
      <c r="C175" s="20">
        <f aca="true" t="shared" si="108" ref="C175:Z175">$M$8*C51</f>
        <v>-0.32888124298649557</v>
      </c>
      <c r="D175" s="20">
        <f t="shared" si="108"/>
        <v>-0.1792433794445631</v>
      </c>
      <c r="E175" s="20">
        <f t="shared" si="108"/>
        <v>0.05270453661356961</v>
      </c>
      <c r="F175" s="20">
        <f t="shared" si="108"/>
        <v>0.3633906599930693</v>
      </c>
      <c r="G175" s="20">
        <f t="shared" si="108"/>
        <v>0.7331541725314313</v>
      </c>
      <c r="H175" s="20">
        <f t="shared" si="108"/>
        <v>1.068700368986578</v>
      </c>
      <c r="I175" s="20">
        <f t="shared" si="108"/>
        <v>1.176416080918718</v>
      </c>
      <c r="J175" s="20">
        <f t="shared" si="108"/>
        <v>0.9502124025791708</v>
      </c>
      <c r="K175" s="20">
        <f t="shared" si="108"/>
        <v>0.5671064466226671</v>
      </c>
      <c r="L175" s="20">
        <f t="shared" si="108"/>
        <v>0.2479178040433003</v>
      </c>
      <c r="M175" s="20">
        <f t="shared" si="108"/>
        <v>0.043320832791456876</v>
      </c>
      <c r="N175" s="20">
        <f t="shared" si="108"/>
        <v>-0.0772974644563599</v>
      </c>
      <c r="O175" s="20">
        <f t="shared" si="108"/>
        <v>-0.14436196265282775</v>
      </c>
      <c r="P175" s="20">
        <f t="shared" si="108"/>
        <v>-0.17715017668275732</v>
      </c>
      <c r="Q175" s="20">
        <f t="shared" si="108"/>
        <v>-0.18840118686385915</v>
      </c>
      <c r="R175" s="20">
        <f t="shared" si="108"/>
        <v>-0.18793033422764724</v>
      </c>
      <c r="S175" s="20">
        <f t="shared" si="108"/>
        <v>-0.18470939864175692</v>
      </c>
      <c r="T175" s="20">
        <f t="shared" si="108"/>
        <v>-0.1883435273901098</v>
      </c>
      <c r="U175" s="20">
        <f t="shared" si="108"/>
        <v>-0.20974989412801406</v>
      </c>
      <c r="V175" s="20">
        <f t="shared" si="108"/>
        <v>-0.25872361897701657</v>
      </c>
      <c r="W175" s="20">
        <f t="shared" si="108"/>
        <v>-0.3358892300962097</v>
      </c>
      <c r="X175" s="20">
        <f t="shared" si="108"/>
        <v>-0.42284540324271774</v>
      </c>
      <c r="Y175" s="20">
        <f t="shared" si="108"/>
        <v>-0.48232028354932277</v>
      </c>
      <c r="Z175" s="20">
        <f t="shared" si="108"/>
        <v>-0.4747367517943909</v>
      </c>
    </row>
    <row r="176" spans="2:26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>
      <c r="A177" s="15" t="s">
        <v>135</v>
      </c>
      <c r="B177" s="20">
        <f>B173*B168+B174*B169+B175*B47</f>
        <v>-1.1740520324822854</v>
      </c>
      <c r="C177" s="20">
        <f aca="true" t="shared" si="109" ref="C177:Z177">C173*C168+C174*C169+C175*C47</f>
        <v>-0.7028090840633294</v>
      </c>
      <c r="D177" s="20">
        <f t="shared" si="109"/>
        <v>-0.26237134992665706</v>
      </c>
      <c r="E177" s="20">
        <f t="shared" si="109"/>
        <v>0.4709292239914671</v>
      </c>
      <c r="F177" s="20">
        <f t="shared" si="109"/>
        <v>1.135220673257511</v>
      </c>
      <c r="G177" s="20">
        <f t="shared" si="109"/>
        <v>1.1039831139380238</v>
      </c>
      <c r="H177" s="20">
        <f t="shared" si="109"/>
        <v>0.31083039065715334</v>
      </c>
      <c r="I177" s="20">
        <f t="shared" si="109"/>
        <v>-0.51229513505966</v>
      </c>
      <c r="J177" s="20">
        <f t="shared" si="109"/>
        <v>-0.6644457911588628</v>
      </c>
      <c r="K177" s="20">
        <f t="shared" si="109"/>
        <v>-0.3807538273050929</v>
      </c>
      <c r="L177" s="20">
        <f t="shared" si="109"/>
        <v>-0.15126699333328786</v>
      </c>
      <c r="M177" s="20">
        <f t="shared" si="109"/>
        <v>-0.06668926581260622</v>
      </c>
      <c r="N177" s="20">
        <f t="shared" si="109"/>
        <v>-0.04828407146336624</v>
      </c>
      <c r="O177" s="20">
        <f t="shared" si="109"/>
        <v>-0.044564232021826355</v>
      </c>
      <c r="P177" s="20">
        <f t="shared" si="109"/>
        <v>-0.04028065332183232</v>
      </c>
      <c r="Q177" s="20">
        <f t="shared" si="109"/>
        <v>-0.03546180028656582</v>
      </c>
      <c r="R177" s="20">
        <f t="shared" si="109"/>
        <v>-0.0322735843620675</v>
      </c>
      <c r="S177" s="20">
        <f t="shared" si="109"/>
        <v>-0.02435782110508498</v>
      </c>
      <c r="T177" s="20">
        <f t="shared" si="109"/>
        <v>0.011574169729173436</v>
      </c>
      <c r="U177" s="20">
        <f t="shared" si="109"/>
        <v>0.1118395574541931</v>
      </c>
      <c r="V177" s="20">
        <f t="shared" si="109"/>
        <v>0.30148620009417454</v>
      </c>
      <c r="W177" s="20">
        <f t="shared" si="109"/>
        <v>0.5438453855969763</v>
      </c>
      <c r="X177" s="20">
        <f t="shared" si="109"/>
        <v>0.6651123986255559</v>
      </c>
      <c r="Y177" s="20">
        <f t="shared" si="109"/>
        <v>0.4040382429701007</v>
      </c>
      <c r="Z177" s="20">
        <f t="shared" si="109"/>
        <v>-0.21646163019158937</v>
      </c>
    </row>
    <row r="178" spans="1:26" ht="12.75">
      <c r="A178" s="15" t="s">
        <v>136</v>
      </c>
      <c r="B178" s="20">
        <f>$L$8*B169</f>
        <v>5.808278546097419</v>
      </c>
      <c r="C178" s="20">
        <f aca="true" t="shared" si="110" ref="C178:Z178">$L$8*C169</f>
        <v>3.7333022600808246</v>
      </c>
      <c r="D178" s="20">
        <f t="shared" si="110"/>
        <v>1.2571856882579207</v>
      </c>
      <c r="E178" s="20">
        <f t="shared" si="110"/>
        <v>-1.5587838771628024</v>
      </c>
      <c r="F178" s="20">
        <f t="shared" si="110"/>
        <v>-4.172428651160233</v>
      </c>
      <c r="G178" s="20">
        <f t="shared" si="110"/>
        <v>-6.007096159711478</v>
      </c>
      <c r="H178" s="20">
        <f t="shared" si="110"/>
        <v>-6.606243528432325</v>
      </c>
      <c r="I178" s="20">
        <f t="shared" si="110"/>
        <v>-5.8919353433392025</v>
      </c>
      <c r="J178" s="20">
        <f t="shared" si="110"/>
        <v>-4.381286765672991</v>
      </c>
      <c r="K178" s="20">
        <f t="shared" si="110"/>
        <v>-2.8636285002819055</v>
      </c>
      <c r="L178" s="20">
        <f t="shared" si="110"/>
        <v>-1.789566717449718</v>
      </c>
      <c r="M178" s="20">
        <f t="shared" si="110"/>
        <v>-1.1813102469433243</v>
      </c>
      <c r="N178" s="20">
        <f t="shared" si="110"/>
        <v>-0.9029749981531756</v>
      </c>
      <c r="O178" s="20">
        <f t="shared" si="110"/>
        <v>-0.8207268946101203</v>
      </c>
      <c r="P178" s="20">
        <f t="shared" si="110"/>
        <v>-0.8258303871235354</v>
      </c>
      <c r="Q178" s="20">
        <f t="shared" si="110"/>
        <v>-0.8165351900441037</v>
      </c>
      <c r="R178" s="20">
        <f t="shared" si="110"/>
        <v>-0.6809331060582873</v>
      </c>
      <c r="S178" s="20">
        <f t="shared" si="110"/>
        <v>-0.29702414902777186</v>
      </c>
      <c r="T178" s="20">
        <f t="shared" si="110"/>
        <v>0.44102405888816226</v>
      </c>
      <c r="U178" s="20">
        <f t="shared" si="110"/>
        <v>1.5770258579845127</v>
      </c>
      <c r="V178" s="20">
        <f t="shared" si="110"/>
        <v>3.047430351875441</v>
      </c>
      <c r="W178" s="20">
        <f t="shared" si="110"/>
        <v>4.6376606475401605</v>
      </c>
      <c r="X178" s="20">
        <f t="shared" si="110"/>
        <v>5.949772377720863</v>
      </c>
      <c r="Y178" s="20">
        <f t="shared" si="110"/>
        <v>6.482268272437966</v>
      </c>
      <c r="Z178" s="20">
        <f t="shared" si="110"/>
        <v>5.864013860936396</v>
      </c>
    </row>
    <row r="179" spans="1:26" ht="12.75">
      <c r="A179" s="15" t="s">
        <v>137</v>
      </c>
      <c r="B179" s="20">
        <f>B177+B178</f>
        <v>4.634226513615134</v>
      </c>
      <c r="C179" s="20">
        <f aca="true" t="shared" si="111" ref="C179:Z179">C177+C178</f>
        <v>3.030493176017495</v>
      </c>
      <c r="D179" s="20">
        <f t="shared" si="111"/>
        <v>0.9948143383312635</v>
      </c>
      <c r="E179" s="20">
        <f t="shared" si="111"/>
        <v>-1.0878546531713353</v>
      </c>
      <c r="F179" s="20">
        <f t="shared" si="111"/>
        <v>-3.0372079779027223</v>
      </c>
      <c r="G179" s="20">
        <f t="shared" si="111"/>
        <v>-4.903113045773454</v>
      </c>
      <c r="H179" s="20">
        <f t="shared" si="111"/>
        <v>-6.295413137775172</v>
      </c>
      <c r="I179" s="20">
        <f t="shared" si="111"/>
        <v>-6.404230478398863</v>
      </c>
      <c r="J179" s="20">
        <f t="shared" si="111"/>
        <v>-5.045732556831854</v>
      </c>
      <c r="K179" s="20">
        <f t="shared" si="111"/>
        <v>-3.2443823275869983</v>
      </c>
      <c r="L179" s="20">
        <f t="shared" si="111"/>
        <v>-1.9408337107830058</v>
      </c>
      <c r="M179" s="20">
        <f t="shared" si="111"/>
        <v>-1.2479995127559305</v>
      </c>
      <c r="N179" s="20">
        <f t="shared" si="111"/>
        <v>-0.9512590696165418</v>
      </c>
      <c r="O179" s="20">
        <f t="shared" si="111"/>
        <v>-0.8652911266319466</v>
      </c>
      <c r="P179" s="20">
        <f t="shared" si="111"/>
        <v>-0.8661110404453677</v>
      </c>
      <c r="Q179" s="20">
        <f t="shared" si="111"/>
        <v>-0.8519969903306696</v>
      </c>
      <c r="R179" s="20">
        <f t="shared" si="111"/>
        <v>-0.7132066904203548</v>
      </c>
      <c r="S179" s="20">
        <f t="shared" si="111"/>
        <v>-0.32138197013285685</v>
      </c>
      <c r="T179" s="20">
        <f t="shared" si="111"/>
        <v>0.4525982286173357</v>
      </c>
      <c r="U179" s="20">
        <f t="shared" si="111"/>
        <v>1.6888654154387057</v>
      </c>
      <c r="V179" s="20">
        <f t="shared" si="111"/>
        <v>3.348916551969616</v>
      </c>
      <c r="W179" s="20">
        <f t="shared" si="111"/>
        <v>5.181506033137136</v>
      </c>
      <c r="X179" s="20">
        <f t="shared" si="111"/>
        <v>6.614884776346419</v>
      </c>
      <c r="Y179" s="20">
        <f t="shared" si="111"/>
        <v>6.886306515408067</v>
      </c>
      <c r="Z179" s="20">
        <f t="shared" si="111"/>
        <v>5.6475522307448065</v>
      </c>
    </row>
    <row r="180" spans="1:26" ht="12.75">
      <c r="A180" s="15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>
      <c r="A181" s="15" t="s">
        <v>138</v>
      </c>
      <c r="B181" s="20">
        <f>((B168^2+B169^2)*$K$8+$M$8*B47^2)/2</f>
        <v>0.5502689771845855</v>
      </c>
      <c r="C181" s="20">
        <f aca="true" t="shared" si="112" ref="C181:Z181">((C168^2+C169^2)*$K$8+$M$8*C47^2)/2</f>
        <v>0.2980348607919562</v>
      </c>
      <c r="D181" s="20">
        <f t="shared" si="112"/>
        <v>0.153241623799383</v>
      </c>
      <c r="E181" s="20">
        <f t="shared" si="112"/>
        <v>0.17450073329360738</v>
      </c>
      <c r="F181" s="20">
        <f t="shared" si="112"/>
        <v>0.3654760943790706</v>
      </c>
      <c r="G181" s="20">
        <f t="shared" si="112"/>
        <v>0.584504067664394</v>
      </c>
      <c r="H181" s="20">
        <f t="shared" si="112"/>
        <v>0.6439771076614804</v>
      </c>
      <c r="I181" s="20">
        <f t="shared" si="112"/>
        <v>0.49594524538024315</v>
      </c>
      <c r="J181" s="20">
        <f t="shared" si="112"/>
        <v>0.28951622856490894</v>
      </c>
      <c r="K181" s="20">
        <f t="shared" si="112"/>
        <v>0.1623295753505804</v>
      </c>
      <c r="L181" s="20">
        <f t="shared" si="112"/>
        <v>0.11316822894214212</v>
      </c>
      <c r="M181" s="20">
        <f t="shared" si="112"/>
        <v>0.09552572256064835</v>
      </c>
      <c r="N181" s="20">
        <f t="shared" si="112"/>
        <v>0.08366034721806408</v>
      </c>
      <c r="O181" s="20">
        <f t="shared" si="112"/>
        <v>0.07046070149019563</v>
      </c>
      <c r="P181" s="20">
        <f t="shared" si="112"/>
        <v>0.05585950750968672</v>
      </c>
      <c r="Q181" s="20">
        <f t="shared" si="112"/>
        <v>0.04078809778680958</v>
      </c>
      <c r="R181" s="20">
        <f t="shared" si="112"/>
        <v>0.02534370639859325</v>
      </c>
      <c r="S181" s="20">
        <f t="shared" si="112"/>
        <v>0.010943812121056584</v>
      </c>
      <c r="T181" s="20">
        <f t="shared" si="112"/>
        <v>0.006841004076415897</v>
      </c>
      <c r="U181" s="20">
        <f t="shared" si="112"/>
        <v>0.03644054162726445</v>
      </c>
      <c r="V181" s="20">
        <f t="shared" si="112"/>
        <v>0.13214627175158136</v>
      </c>
      <c r="W181" s="20">
        <f t="shared" si="112"/>
        <v>0.30802415874539457</v>
      </c>
      <c r="X181" s="20">
        <f t="shared" si="112"/>
        <v>0.514800692098593</v>
      </c>
      <c r="Y181" s="20">
        <f t="shared" si="112"/>
        <v>0.6313626816063579</v>
      </c>
      <c r="Z181" s="20">
        <f t="shared" si="112"/>
        <v>0.5608802327748941</v>
      </c>
    </row>
    <row r="182" spans="1:26" ht="12.75">
      <c r="A182" s="15" t="s">
        <v>139</v>
      </c>
      <c r="B182" s="20">
        <f>$L$8*(B167-$J$8)</f>
        <v>0</v>
      </c>
      <c r="C182" s="20">
        <f aca="true" t="shared" si="113" ref="C182:Z182">$L$8*(C167-$J$8)</f>
        <v>1.2629711915213624</v>
      </c>
      <c r="D182" s="20">
        <f t="shared" si="113"/>
        <v>1.914358502022181</v>
      </c>
      <c r="E182" s="20">
        <f t="shared" si="113"/>
        <v>1.8813764406063007</v>
      </c>
      <c r="F182" s="20">
        <f t="shared" si="113"/>
        <v>1.1904464355826303</v>
      </c>
      <c r="G182" s="20">
        <f t="shared" si="113"/>
        <v>-0.02988296165291646</v>
      </c>
      <c r="H182" s="20">
        <f t="shared" si="113"/>
        <v>-1.5542289217725784</v>
      </c>
      <c r="I182" s="20">
        <f t="shared" si="113"/>
        <v>-3.097906764876334</v>
      </c>
      <c r="J182" s="20">
        <f t="shared" si="113"/>
        <v>-4.410853026986405</v>
      </c>
      <c r="K182" s="20">
        <f t="shared" si="113"/>
        <v>-5.380578147068828</v>
      </c>
      <c r="L182" s="20">
        <f t="shared" si="113"/>
        <v>-6.039816315537902</v>
      </c>
      <c r="M182" s="20">
        <f t="shared" si="113"/>
        <v>-6.4878811415773505</v>
      </c>
      <c r="N182" s="20">
        <f t="shared" si="113"/>
        <v>-6.823468574159006</v>
      </c>
      <c r="O182" s="20">
        <f t="shared" si="113"/>
        <v>-7.120507294661593</v>
      </c>
      <c r="P182" s="20">
        <f t="shared" si="113"/>
        <v>-7.4243876765373</v>
      </c>
      <c r="Q182" s="20">
        <f t="shared" si="113"/>
        <v>-7.7484002048365515</v>
      </c>
      <c r="R182" s="20">
        <f t="shared" si="113"/>
        <v>-8.06330977132314</v>
      </c>
      <c r="S182" s="20">
        <f t="shared" si="113"/>
        <v>-8.283660636376151</v>
      </c>
      <c r="T182" s="20">
        <f t="shared" si="113"/>
        <v>-8.266223014265774</v>
      </c>
      <c r="U182" s="20">
        <f t="shared" si="113"/>
        <v>-7.843122753149403</v>
      </c>
      <c r="V182" s="20">
        <f t="shared" si="113"/>
        <v>-6.895717164740836</v>
      </c>
      <c r="W182" s="20">
        <f t="shared" si="113"/>
        <v>-5.4328380083548256</v>
      </c>
      <c r="X182" s="20">
        <f t="shared" si="113"/>
        <v>-3.6152348139700177</v>
      </c>
      <c r="Y182" s="20">
        <f t="shared" si="113"/>
        <v>-1.7080182706387401</v>
      </c>
      <c r="Z182" s="20">
        <f t="shared" si="113"/>
        <v>-1.6336931807359178E-15</v>
      </c>
    </row>
    <row r="183" spans="1:26" ht="12.75">
      <c r="A183" s="15" t="s">
        <v>140</v>
      </c>
      <c r="B183" s="20">
        <f>B181+B182</f>
        <v>0.5502689771845855</v>
      </c>
      <c r="C183" s="20">
        <f aca="true" t="shared" si="114" ref="C183:Z183">C181+C182</f>
        <v>1.5610060523133185</v>
      </c>
      <c r="D183" s="20">
        <f t="shared" si="114"/>
        <v>2.067600125821564</v>
      </c>
      <c r="E183" s="20">
        <f t="shared" si="114"/>
        <v>2.055877173899908</v>
      </c>
      <c r="F183" s="20">
        <f t="shared" si="114"/>
        <v>1.555922529961701</v>
      </c>
      <c r="G183" s="20">
        <f t="shared" si="114"/>
        <v>0.5546211060114775</v>
      </c>
      <c r="H183" s="20">
        <f t="shared" si="114"/>
        <v>-0.910251814111098</v>
      </c>
      <c r="I183" s="20">
        <f t="shared" si="114"/>
        <v>-2.601961519496091</v>
      </c>
      <c r="J183" s="20">
        <f t="shared" si="114"/>
        <v>-4.1213367984214955</v>
      </c>
      <c r="K183" s="20">
        <f t="shared" si="114"/>
        <v>-5.218248571718248</v>
      </c>
      <c r="L183" s="20">
        <f t="shared" si="114"/>
        <v>-5.926648086595759</v>
      </c>
      <c r="M183" s="20">
        <f t="shared" si="114"/>
        <v>-6.3923554190167025</v>
      </c>
      <c r="N183" s="20">
        <f t="shared" si="114"/>
        <v>-6.739808226940942</v>
      </c>
      <c r="O183" s="20">
        <f t="shared" si="114"/>
        <v>-7.050046593171397</v>
      </c>
      <c r="P183" s="20">
        <f t="shared" si="114"/>
        <v>-7.368528169027614</v>
      </c>
      <c r="Q183" s="20">
        <f t="shared" si="114"/>
        <v>-7.707612107049742</v>
      </c>
      <c r="R183" s="20">
        <f t="shared" si="114"/>
        <v>-8.037966064924548</v>
      </c>
      <c r="S183" s="20">
        <f t="shared" si="114"/>
        <v>-8.272716824255095</v>
      </c>
      <c r="T183" s="20">
        <f t="shared" si="114"/>
        <v>-8.25938201018936</v>
      </c>
      <c r="U183" s="20">
        <f t="shared" si="114"/>
        <v>-7.806682211522139</v>
      </c>
      <c r="V183" s="20">
        <f t="shared" si="114"/>
        <v>-6.763570892989255</v>
      </c>
      <c r="W183" s="20">
        <f t="shared" si="114"/>
        <v>-5.124813849609431</v>
      </c>
      <c r="X183" s="20">
        <f t="shared" si="114"/>
        <v>-3.100434121871425</v>
      </c>
      <c r="Y183" s="20">
        <f t="shared" si="114"/>
        <v>-1.0766555890323821</v>
      </c>
      <c r="Z183" s="20">
        <f t="shared" si="114"/>
        <v>0.5608802327748924</v>
      </c>
    </row>
    <row r="184" spans="2:26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3.5" thickBot="1"/>
    <row r="186" ht="13.5" thickBot="1">
      <c r="A186" s="51" t="s">
        <v>159</v>
      </c>
    </row>
    <row r="187" spans="1:26" ht="12.75">
      <c r="A187" s="15" t="s">
        <v>160</v>
      </c>
      <c r="B187" s="20">
        <f>B70-($B$70-$I$9)</f>
        <v>1</v>
      </c>
      <c r="C187" s="20">
        <f aca="true" t="shared" si="115" ref="C187:Z187">C70-($B$70-$I$9)</f>
        <v>1.1517532290677686</v>
      </c>
      <c r="D187" s="20">
        <f t="shared" si="115"/>
        <v>1.220864895074235</v>
      </c>
      <c r="E187" s="20">
        <f t="shared" si="115"/>
        <v>1.1988746407828947</v>
      </c>
      <c r="F187" s="20">
        <f t="shared" si="115"/>
        <v>1.0905419435051416</v>
      </c>
      <c r="G187" s="20">
        <f t="shared" si="115"/>
        <v>0.9141153397523372</v>
      </c>
      <c r="H187" s="20">
        <f t="shared" si="115"/>
        <v>0.7005339519102727</v>
      </c>
      <c r="I187" s="20">
        <f t="shared" si="115"/>
        <v>0.4883896528931402</v>
      </c>
      <c r="J187" s="20">
        <f t="shared" si="115"/>
        <v>0.3114433076993812</v>
      </c>
      <c r="K187" s="20">
        <f t="shared" si="115"/>
        <v>0.1849322267909954</v>
      </c>
      <c r="L187" s="20">
        <f t="shared" si="115"/>
        <v>0.10447800122788942</v>
      </c>
      <c r="M187" s="20">
        <f t="shared" si="115"/>
        <v>0.05645759341925549</v>
      </c>
      <c r="N187" s="20">
        <f t="shared" si="115"/>
        <v>0.026929454961868826</v>
      </c>
      <c r="O187" s="20">
        <f t="shared" si="115"/>
        <v>0.004912577676975838</v>
      </c>
      <c r="P187" s="20">
        <f t="shared" si="115"/>
        <v>-0.017000131114933925</v>
      </c>
      <c r="Q187" s="20">
        <f t="shared" si="115"/>
        <v>-0.0420289968816685</v>
      </c>
      <c r="R187" s="20">
        <f t="shared" si="115"/>
        <v>-0.067661873443013</v>
      </c>
      <c r="S187" s="20">
        <f t="shared" si="115"/>
        <v>-0.08367048222022477</v>
      </c>
      <c r="T187" s="20">
        <f t="shared" si="115"/>
        <v>-0.07178019563535254</v>
      </c>
      <c r="U187" s="20">
        <f t="shared" si="115"/>
        <v>-0.010050810035595825</v>
      </c>
      <c r="V187" s="20">
        <f t="shared" si="115"/>
        <v>0.11720203258487594</v>
      </c>
      <c r="W187" s="20">
        <f t="shared" si="115"/>
        <v>0.30885741109822074</v>
      </c>
      <c r="X187" s="20">
        <f t="shared" si="115"/>
        <v>0.5436754770963446</v>
      </c>
      <c r="Y187" s="20">
        <f t="shared" si="115"/>
        <v>0.7866826163716374</v>
      </c>
      <c r="Z187" s="20">
        <f t="shared" si="115"/>
        <v>1</v>
      </c>
    </row>
    <row r="188" spans="1:26" ht="12.75">
      <c r="A188" s="15" t="s">
        <v>161</v>
      </c>
      <c r="B188" s="20">
        <f>B71-($B$71-$J$9)</f>
        <v>-1</v>
      </c>
      <c r="C188" s="20">
        <f aca="true" t="shared" si="116" ref="C188:Z188">C71-($B$71-$J$9)</f>
        <v>-0.8856457396198059</v>
      </c>
      <c r="D188" s="20">
        <f t="shared" si="116"/>
        <v>-0.8335663637912818</v>
      </c>
      <c r="E188" s="20">
        <f t="shared" si="116"/>
        <v>-0.8501372089753118</v>
      </c>
      <c r="F188" s="20">
        <f t="shared" si="116"/>
        <v>-0.9317717517675221</v>
      </c>
      <c r="G188" s="20">
        <f t="shared" si="116"/>
        <v>-1.064718733571329</v>
      </c>
      <c r="H188" s="20">
        <f t="shared" si="116"/>
        <v>-1.2256638534062925</v>
      </c>
      <c r="I188" s="20">
        <f t="shared" si="116"/>
        <v>-1.3855260491368706</v>
      </c>
      <c r="J188" s="20">
        <f t="shared" si="116"/>
        <v>-1.518864684208515</v>
      </c>
      <c r="K188" s="20">
        <f t="shared" si="116"/>
        <v>-1.6141976216099114</v>
      </c>
      <c r="L188" s="20">
        <f t="shared" si="116"/>
        <v>-1.6748242291308735</v>
      </c>
      <c r="M188" s="20">
        <f t="shared" si="116"/>
        <v>-1.7110102019226576</v>
      </c>
      <c r="N188" s="20">
        <f t="shared" si="116"/>
        <v>-1.7332612502492175</v>
      </c>
      <c r="O188" s="20">
        <f t="shared" si="116"/>
        <v>-1.7498521572978647</v>
      </c>
      <c r="P188" s="20">
        <f t="shared" si="116"/>
        <v>-1.7663645677567312</v>
      </c>
      <c r="Q188" s="20">
        <f t="shared" si="116"/>
        <v>-1.7852251709247333</v>
      </c>
      <c r="R188" s="20">
        <f t="shared" si="116"/>
        <v>-1.8045409288733198</v>
      </c>
      <c r="S188" s="20">
        <f t="shared" si="116"/>
        <v>-1.8166042808538987</v>
      </c>
      <c r="T188" s="20">
        <f t="shared" si="116"/>
        <v>-1.8076443072409853</v>
      </c>
      <c r="U188" s="20">
        <f t="shared" si="116"/>
        <v>-1.7611278787119315</v>
      </c>
      <c r="V188" s="20">
        <f t="shared" si="116"/>
        <v>-1.6652359837681816</v>
      </c>
      <c r="W188" s="20">
        <f t="shared" si="116"/>
        <v>-1.5208132970654666</v>
      </c>
      <c r="X188" s="20">
        <f t="shared" si="116"/>
        <v>-1.3438651923952751</v>
      </c>
      <c r="Y188" s="20">
        <f t="shared" si="116"/>
        <v>-1.1607461783904844</v>
      </c>
      <c r="Z188" s="20">
        <f t="shared" si="116"/>
        <v>-1.0000000000000002</v>
      </c>
    </row>
    <row r="189" spans="1:26" ht="12.75">
      <c r="A189" s="15" t="s">
        <v>162</v>
      </c>
      <c r="B189" s="20">
        <f>B73</f>
        <v>0.7144562128371804</v>
      </c>
      <c r="C189" s="20">
        <f aca="true" t="shared" si="117" ref="C189:Z189">C73</f>
        <v>0.43133673580748927</v>
      </c>
      <c r="D189" s="20">
        <f t="shared" si="117"/>
        <v>0.09586374201702404</v>
      </c>
      <c r="E189" s="20">
        <f t="shared" si="117"/>
        <v>-0.2789533954374125</v>
      </c>
      <c r="F189" s="20">
        <f t="shared" si="117"/>
        <v>-0.6203801935257172</v>
      </c>
      <c r="G189" s="20">
        <f t="shared" si="117"/>
        <v>-0.8524643375132258</v>
      </c>
      <c r="H189" s="20">
        <f t="shared" si="117"/>
        <v>-0.9159524261316744</v>
      </c>
      <c r="I189" s="20">
        <f t="shared" si="117"/>
        <v>-0.8023634547917322</v>
      </c>
      <c r="J189" s="20">
        <f t="shared" si="117"/>
        <v>-0.582541608334612</v>
      </c>
      <c r="K189" s="20">
        <f t="shared" si="117"/>
        <v>-0.3634117045139409</v>
      </c>
      <c r="L189" s="20">
        <f t="shared" si="117"/>
        <v>-0.20627165357621013</v>
      </c>
      <c r="M189" s="20">
        <f t="shared" si="117"/>
        <v>-0.11481517356111766</v>
      </c>
      <c r="N189" s="20">
        <f t="shared" si="117"/>
        <v>-0.07142645193860205</v>
      </c>
      <c r="O189" s="20">
        <f t="shared" si="117"/>
        <v>-0.0584800243618614</v>
      </c>
      <c r="P189" s="20">
        <f t="shared" si="117"/>
        <v>-0.061238239994114776</v>
      </c>
      <c r="Q189" s="20">
        <f t="shared" si="117"/>
        <v>-0.06543269483254115</v>
      </c>
      <c r="R189" s="20">
        <f t="shared" si="117"/>
        <v>-0.055133326798713425</v>
      </c>
      <c r="S189" s="20">
        <f t="shared" si="117"/>
        <v>-0.013007578272001745</v>
      </c>
      <c r="T189" s="20">
        <f t="shared" si="117"/>
        <v>0.07586880023876609</v>
      </c>
      <c r="U189" s="20">
        <f t="shared" si="117"/>
        <v>0.21758643933123273</v>
      </c>
      <c r="V189" s="20">
        <f t="shared" si="117"/>
        <v>0.40319525041853405</v>
      </c>
      <c r="W189" s="20">
        <f t="shared" si="117"/>
        <v>0.6031377430464108</v>
      </c>
      <c r="X189" s="20">
        <f t="shared" si="117"/>
        <v>0.7637595348353672</v>
      </c>
      <c r="Y189" s="20">
        <f t="shared" si="117"/>
        <v>0.8189099649097143</v>
      </c>
      <c r="Z189" s="20">
        <f t="shared" si="117"/>
        <v>0.721312020740522</v>
      </c>
    </row>
    <row r="190" spans="1:26" ht="12.75">
      <c r="A190" s="15" t="s">
        <v>163</v>
      </c>
      <c r="B190" s="20">
        <f>B74</f>
        <v>0.5383813728045612</v>
      </c>
      <c r="C190" s="20">
        <f aca="true" t="shared" si="118" ref="C190:Z190">C74</f>
        <v>0.32503554422585235</v>
      </c>
      <c r="D190" s="20">
        <f t="shared" si="118"/>
        <v>0.07223851105493787</v>
      </c>
      <c r="E190" s="20">
        <f t="shared" si="118"/>
        <v>-0.21020646092178846</v>
      </c>
      <c r="F190" s="20">
        <f t="shared" si="118"/>
        <v>-0.4674900074348596</v>
      </c>
      <c r="G190" s="20">
        <f t="shared" si="118"/>
        <v>-0.6423779541012866</v>
      </c>
      <c r="H190" s="20">
        <f t="shared" si="118"/>
        <v>-0.6902196604130034</v>
      </c>
      <c r="I190" s="20">
        <f t="shared" si="118"/>
        <v>-0.60462423101278</v>
      </c>
      <c r="J190" s="20">
        <f t="shared" si="118"/>
        <v>-0.4389765883139426</v>
      </c>
      <c r="K190" s="20">
        <f t="shared" si="118"/>
        <v>-0.2738503617912402</v>
      </c>
      <c r="L190" s="20">
        <f t="shared" si="118"/>
        <v>-0.15543683997375368</v>
      </c>
      <c r="M190" s="20">
        <f t="shared" si="118"/>
        <v>-0.08651943905023544</v>
      </c>
      <c r="N190" s="20">
        <f t="shared" si="118"/>
        <v>-0.053823692142806134</v>
      </c>
      <c r="O190" s="20">
        <f t="shared" si="118"/>
        <v>-0.0440678592079907</v>
      </c>
      <c r="P190" s="20">
        <f t="shared" si="118"/>
        <v>-0.04614632376873205</v>
      </c>
      <c r="Q190" s="20">
        <f t="shared" si="118"/>
        <v>-0.0493070722002015</v>
      </c>
      <c r="R190" s="20">
        <f t="shared" si="118"/>
        <v>-0.041545941704811476</v>
      </c>
      <c r="S190" s="20">
        <f t="shared" si="118"/>
        <v>-0.009801913288896017</v>
      </c>
      <c r="T190" s="20">
        <f t="shared" si="118"/>
        <v>0.057171241696362035</v>
      </c>
      <c r="U190" s="20">
        <f t="shared" si="118"/>
        <v>0.16396314260549635</v>
      </c>
      <c r="V190" s="20">
        <f t="shared" si="118"/>
        <v>0.30382941393509666</v>
      </c>
      <c r="W190" s="20">
        <f t="shared" si="118"/>
        <v>0.45449688904248137</v>
      </c>
      <c r="X190" s="20">
        <f t="shared" si="118"/>
        <v>0.5755340907798171</v>
      </c>
      <c r="Y190" s="20">
        <f t="shared" si="118"/>
        <v>0.6170929207272524</v>
      </c>
      <c r="Z190" s="20">
        <f t="shared" si="118"/>
        <v>0.5435475946168508</v>
      </c>
    </row>
    <row r="191" spans="1:26" ht="12.75">
      <c r="A191" s="15" t="s">
        <v>164</v>
      </c>
      <c r="B191" s="20">
        <f>B80</f>
        <v>-1.081436742116824</v>
      </c>
      <c r="C191" s="20">
        <f aca="true" t="shared" si="119" ref="C191:Z191">C80</f>
        <v>-1.081436742116824</v>
      </c>
      <c r="D191" s="20">
        <f t="shared" si="119"/>
        <v>-1.2814124456541423</v>
      </c>
      <c r="E191" s="20">
        <f t="shared" si="119"/>
        <v>-1.5045494090055964</v>
      </c>
      <c r="F191" s="20">
        <f t="shared" si="119"/>
        <v>-1.4199392246042113</v>
      </c>
      <c r="G191" s="20">
        <f t="shared" si="119"/>
        <v>-0.9825092005723399</v>
      </c>
      <c r="H191" s="20">
        <f t="shared" si="119"/>
        <v>-0.26915081303128907</v>
      </c>
      <c r="I191" s="20">
        <f t="shared" si="119"/>
        <v>0.4741500220075336</v>
      </c>
      <c r="J191" s="20">
        <f t="shared" si="119"/>
        <v>0.8865139626739308</v>
      </c>
      <c r="K191" s="20">
        <f t="shared" si="119"/>
        <v>0.8376954254681582</v>
      </c>
      <c r="L191" s="20">
        <f t="shared" si="119"/>
        <v>0.5621625064694941</v>
      </c>
      <c r="M191" s="20">
        <f t="shared" si="119"/>
        <v>0.30550433235921615</v>
      </c>
      <c r="N191" s="20">
        <f t="shared" si="119"/>
        <v>0.13589399385570572</v>
      </c>
      <c r="O191" s="20">
        <f t="shared" si="119"/>
        <v>0.03816138302970834</v>
      </c>
      <c r="P191" s="20">
        <f t="shared" si="119"/>
        <v>-0.00766465202330831</v>
      </c>
      <c r="Q191" s="20">
        <f t="shared" si="119"/>
        <v>-0.011003221052197606</v>
      </c>
      <c r="R191" s="20">
        <f t="shared" si="119"/>
        <v>0.025592083877898464</v>
      </c>
      <c r="S191" s="20">
        <f t="shared" si="119"/>
        <v>0.09992729765611001</v>
      </c>
      <c r="T191" s="20">
        <f t="shared" si="119"/>
        <v>0.20424146160033327</v>
      </c>
      <c r="U191" s="20">
        <f t="shared" si="119"/>
        <v>0.3231179674555052</v>
      </c>
      <c r="V191" s="20">
        <f t="shared" si="119"/>
        <v>0.4342744291495943</v>
      </c>
      <c r="W191" s="20">
        <f t="shared" si="119"/>
        <v>0.49952579671194264</v>
      </c>
      <c r="X191" s="20">
        <f t="shared" si="119"/>
        <v>0.44385428524857645</v>
      </c>
      <c r="Y191" s="20">
        <f t="shared" si="119"/>
        <v>0.17168276038652022</v>
      </c>
      <c r="Z191" s="20">
        <f t="shared" si="119"/>
        <v>-0.3412601734435523</v>
      </c>
    </row>
    <row r="192" spans="1:26" ht="12.75">
      <c r="A192" s="15" t="s">
        <v>165</v>
      </c>
      <c r="B192" s="20">
        <f>B81</f>
        <v>-0.8149210369521042</v>
      </c>
      <c r="C192" s="20">
        <f aca="true" t="shared" si="120" ref="C192:Z192">C81</f>
        <v>-0.8149210369521042</v>
      </c>
      <c r="D192" s="20">
        <f t="shared" si="120"/>
        <v>-0.9656135382748051</v>
      </c>
      <c r="E192" s="20">
        <f t="shared" si="120"/>
        <v>-1.1337593007359328</v>
      </c>
      <c r="F192" s="20">
        <f t="shared" si="120"/>
        <v>-1.0700009536003252</v>
      </c>
      <c r="G192" s="20">
        <f t="shared" si="120"/>
        <v>-0.7403737873545446</v>
      </c>
      <c r="H192" s="20">
        <f t="shared" si="120"/>
        <v>-0.20281968524818683</v>
      </c>
      <c r="I192" s="20">
        <f t="shared" si="120"/>
        <v>0.3572976694401052</v>
      </c>
      <c r="J192" s="20">
        <f t="shared" si="120"/>
        <v>0.6680361870456173</v>
      </c>
      <c r="K192" s="20">
        <f t="shared" si="120"/>
        <v>0.6312487806141136</v>
      </c>
      <c r="L192" s="20">
        <f t="shared" si="120"/>
        <v>0.42361983356602606</v>
      </c>
      <c r="M192" s="20">
        <f t="shared" si="120"/>
        <v>0.23021402697323765</v>
      </c>
      <c r="N192" s="20">
        <f t="shared" si="120"/>
        <v>0.10240346945461125</v>
      </c>
      <c r="O192" s="20">
        <f t="shared" si="120"/>
        <v>0.02875666473956081</v>
      </c>
      <c r="P192" s="20">
        <f t="shared" si="120"/>
        <v>-0.005775729574792499</v>
      </c>
      <c r="Q192" s="20">
        <f t="shared" si="120"/>
        <v>-0.008291521788059825</v>
      </c>
      <c r="R192" s="20">
        <f t="shared" si="120"/>
        <v>0.019285018456760547</v>
      </c>
      <c r="S192" s="20">
        <f t="shared" si="120"/>
        <v>0.0753006198645893</v>
      </c>
      <c r="T192" s="20">
        <f t="shared" si="120"/>
        <v>0.15390698058784547</v>
      </c>
      <c r="U192" s="20">
        <f t="shared" si="120"/>
        <v>0.24348685303707873</v>
      </c>
      <c r="V192" s="20">
        <f t="shared" si="120"/>
        <v>0.3272492549417557</v>
      </c>
      <c r="W192" s="20">
        <f t="shared" si="120"/>
        <v>0.37641968724310976</v>
      </c>
      <c r="X192" s="20">
        <f t="shared" si="120"/>
        <v>0.3344681943045454</v>
      </c>
      <c r="Y192" s="20">
        <f t="shared" si="120"/>
        <v>0.12937223942209006</v>
      </c>
      <c r="Z192" s="20">
        <f t="shared" si="120"/>
        <v>-0.25715798583717225</v>
      </c>
    </row>
    <row r="194" spans="1:26" ht="12.75">
      <c r="A194" s="15" t="s">
        <v>166</v>
      </c>
      <c r="B194" s="20">
        <f>$K$9*B191</f>
        <v>-3.244310226350472</v>
      </c>
      <c r="C194" s="20">
        <f aca="true" t="shared" si="121" ref="C194:Z194">$K$9*C191</f>
        <v>-3.244310226350472</v>
      </c>
      <c r="D194" s="20">
        <f t="shared" si="121"/>
        <v>-3.8442373369624265</v>
      </c>
      <c r="E194" s="20">
        <f t="shared" si="121"/>
        <v>-4.513648227016789</v>
      </c>
      <c r="F194" s="20">
        <f t="shared" si="121"/>
        <v>-4.259817673812634</v>
      </c>
      <c r="G194" s="20">
        <f t="shared" si="121"/>
        <v>-2.9475276017170198</v>
      </c>
      <c r="H194" s="20">
        <f t="shared" si="121"/>
        <v>-0.8074524390938672</v>
      </c>
      <c r="I194" s="20">
        <f t="shared" si="121"/>
        <v>1.4224500660226007</v>
      </c>
      <c r="J194" s="20">
        <f t="shared" si="121"/>
        <v>2.6595418880217925</v>
      </c>
      <c r="K194" s="20">
        <f t="shared" si="121"/>
        <v>2.513086276404475</v>
      </c>
      <c r="L194" s="20">
        <f t="shared" si="121"/>
        <v>1.686487519408482</v>
      </c>
      <c r="M194" s="20">
        <f t="shared" si="121"/>
        <v>0.9165129970776484</v>
      </c>
      <c r="N194" s="20">
        <f t="shared" si="121"/>
        <v>0.40768198156711716</v>
      </c>
      <c r="O194" s="20">
        <f t="shared" si="121"/>
        <v>0.11448414908912502</v>
      </c>
      <c r="P194" s="20">
        <f t="shared" si="121"/>
        <v>-0.02299395606992493</v>
      </c>
      <c r="Q194" s="20">
        <f t="shared" si="121"/>
        <v>-0.03300966315659282</v>
      </c>
      <c r="R194" s="20">
        <f t="shared" si="121"/>
        <v>0.07677625163369539</v>
      </c>
      <c r="S194" s="20">
        <f t="shared" si="121"/>
        <v>0.29978189296833</v>
      </c>
      <c r="T194" s="20">
        <f t="shared" si="121"/>
        <v>0.6127243848009998</v>
      </c>
      <c r="U194" s="20">
        <f t="shared" si="121"/>
        <v>0.9693539023665156</v>
      </c>
      <c r="V194" s="20">
        <f t="shared" si="121"/>
        <v>1.3028232874487828</v>
      </c>
      <c r="W194" s="20">
        <f t="shared" si="121"/>
        <v>1.498577390135828</v>
      </c>
      <c r="X194" s="20">
        <f t="shared" si="121"/>
        <v>1.3315628557457293</v>
      </c>
      <c r="Y194" s="20">
        <f t="shared" si="121"/>
        <v>0.5150482811595607</v>
      </c>
      <c r="Z194" s="20">
        <f t="shared" si="121"/>
        <v>-1.023780520330657</v>
      </c>
    </row>
    <row r="195" spans="1:26" ht="12.75">
      <c r="A195" s="15" t="s">
        <v>167</v>
      </c>
      <c r="B195" s="20">
        <f>$K$9*B192</f>
        <v>-2.4447631108563126</v>
      </c>
      <c r="C195" s="20">
        <f aca="true" t="shared" si="122" ref="C195:Z195">$K$9*C192</f>
        <v>-2.4447631108563126</v>
      </c>
      <c r="D195" s="20">
        <f t="shared" si="122"/>
        <v>-2.8968406148244155</v>
      </c>
      <c r="E195" s="20">
        <f t="shared" si="122"/>
        <v>-3.4012779022077986</v>
      </c>
      <c r="F195" s="20">
        <f t="shared" si="122"/>
        <v>-3.2100028608009756</v>
      </c>
      <c r="G195" s="20">
        <f t="shared" si="122"/>
        <v>-2.221121362063634</v>
      </c>
      <c r="H195" s="20">
        <f t="shared" si="122"/>
        <v>-0.6084590557445605</v>
      </c>
      <c r="I195" s="20">
        <f t="shared" si="122"/>
        <v>1.0718930083203158</v>
      </c>
      <c r="J195" s="20">
        <f t="shared" si="122"/>
        <v>2.004108561136852</v>
      </c>
      <c r="K195" s="20">
        <f t="shared" si="122"/>
        <v>1.8937463418423408</v>
      </c>
      <c r="L195" s="20">
        <f t="shared" si="122"/>
        <v>1.2708595006980783</v>
      </c>
      <c r="M195" s="20">
        <f t="shared" si="122"/>
        <v>0.6906420809197129</v>
      </c>
      <c r="N195" s="20">
        <f t="shared" si="122"/>
        <v>0.30721040836383373</v>
      </c>
      <c r="O195" s="20">
        <f t="shared" si="122"/>
        <v>0.08626999421868242</v>
      </c>
      <c r="P195" s="20">
        <f t="shared" si="122"/>
        <v>-0.017327188724377496</v>
      </c>
      <c r="Q195" s="20">
        <f t="shared" si="122"/>
        <v>-0.024874565364179476</v>
      </c>
      <c r="R195" s="20">
        <f t="shared" si="122"/>
        <v>0.05785505537028164</v>
      </c>
      <c r="S195" s="20">
        <f t="shared" si="122"/>
        <v>0.2259018595937679</v>
      </c>
      <c r="T195" s="20">
        <f t="shared" si="122"/>
        <v>0.4617209417635364</v>
      </c>
      <c r="U195" s="20">
        <f t="shared" si="122"/>
        <v>0.7304605591112362</v>
      </c>
      <c r="V195" s="20">
        <f t="shared" si="122"/>
        <v>0.9817477648252672</v>
      </c>
      <c r="W195" s="20">
        <f t="shared" si="122"/>
        <v>1.1292590617293292</v>
      </c>
      <c r="X195" s="20">
        <f t="shared" si="122"/>
        <v>1.0034045829136362</v>
      </c>
      <c r="Y195" s="20">
        <f t="shared" si="122"/>
        <v>0.38811671826627014</v>
      </c>
      <c r="Z195" s="20">
        <f t="shared" si="122"/>
        <v>-0.7714739575115168</v>
      </c>
    </row>
    <row r="196" spans="1:26" ht="12.75">
      <c r="A196" s="15" t="s">
        <v>168</v>
      </c>
      <c r="B196" s="55">
        <f>$M$9*0</f>
        <v>0</v>
      </c>
      <c r="C196" s="55">
        <f aca="true" t="shared" si="123" ref="C196:Z196">$M$9*0</f>
        <v>0</v>
      </c>
      <c r="D196" s="55">
        <f t="shared" si="123"/>
        <v>0</v>
      </c>
      <c r="E196" s="55">
        <f t="shared" si="123"/>
        <v>0</v>
      </c>
      <c r="F196" s="55">
        <f t="shared" si="123"/>
        <v>0</v>
      </c>
      <c r="G196" s="55">
        <f t="shared" si="123"/>
        <v>0</v>
      </c>
      <c r="H196" s="55">
        <f t="shared" si="123"/>
        <v>0</v>
      </c>
      <c r="I196" s="55">
        <f t="shared" si="123"/>
        <v>0</v>
      </c>
      <c r="J196" s="55">
        <f t="shared" si="123"/>
        <v>0</v>
      </c>
      <c r="K196" s="55">
        <f t="shared" si="123"/>
        <v>0</v>
      </c>
      <c r="L196" s="55">
        <f t="shared" si="123"/>
        <v>0</v>
      </c>
      <c r="M196" s="55">
        <f t="shared" si="123"/>
        <v>0</v>
      </c>
      <c r="N196" s="55">
        <f t="shared" si="123"/>
        <v>0</v>
      </c>
      <c r="O196" s="55">
        <f t="shared" si="123"/>
        <v>0</v>
      </c>
      <c r="P196" s="55">
        <f t="shared" si="123"/>
        <v>0</v>
      </c>
      <c r="Q196" s="55">
        <f t="shared" si="123"/>
        <v>0</v>
      </c>
      <c r="R196" s="55">
        <f t="shared" si="123"/>
        <v>0</v>
      </c>
      <c r="S196" s="55">
        <f t="shared" si="123"/>
        <v>0</v>
      </c>
      <c r="T196" s="55">
        <f t="shared" si="123"/>
        <v>0</v>
      </c>
      <c r="U196" s="55">
        <f t="shared" si="123"/>
        <v>0</v>
      </c>
      <c r="V196" s="55">
        <f t="shared" si="123"/>
        <v>0</v>
      </c>
      <c r="W196" s="55">
        <f t="shared" si="123"/>
        <v>0</v>
      </c>
      <c r="X196" s="55">
        <f t="shared" si="123"/>
        <v>0</v>
      </c>
      <c r="Y196" s="55">
        <f t="shared" si="123"/>
        <v>0</v>
      </c>
      <c r="Z196" s="55">
        <f t="shared" si="123"/>
        <v>0</v>
      </c>
    </row>
    <row r="198" spans="1:26" ht="12.75">
      <c r="A198" s="15" t="s">
        <v>169</v>
      </c>
      <c r="B198" s="55">
        <f>B194*B189+B195*B190+B196*0</f>
        <v>-3.6341325173920653</v>
      </c>
      <c r="C198" s="55">
        <f aca="true" t="shared" si="124" ref="C198:Z198">C194*C189+C195*C190+C196*0</f>
        <v>-2.194025091221339</v>
      </c>
      <c r="D198" s="55">
        <f t="shared" si="124"/>
        <v>-0.5777864291011641</v>
      </c>
      <c r="E198" s="55">
        <f t="shared" si="124"/>
        <v>1.9740680891709763</v>
      </c>
      <c r="F198" s="55">
        <f t="shared" si="124"/>
        <v>4.143350774125921</v>
      </c>
      <c r="G198" s="55">
        <f t="shared" si="124"/>
        <v>3.939461560672747</v>
      </c>
      <c r="H198" s="55">
        <f t="shared" si="124"/>
        <v>1.159558423405193</v>
      </c>
      <c r="I198" s="55">
        <f t="shared" si="124"/>
        <v>-1.7894144351262677</v>
      </c>
      <c r="J198" s="55">
        <f t="shared" si="124"/>
        <v>-2.4290505476601054</v>
      </c>
      <c r="K198" s="55">
        <f t="shared" si="124"/>
        <v>-1.4318880881531055</v>
      </c>
      <c r="L198" s="55">
        <f t="shared" si="124"/>
        <v>-0.54541295420316</v>
      </c>
      <c r="M198" s="55">
        <f t="shared" si="124"/>
        <v>-0.16498356425615118</v>
      </c>
      <c r="N198" s="55">
        <f t="shared" si="124"/>
        <v>-0.045654475905478484</v>
      </c>
      <c r="O198" s="55">
        <f t="shared" si="124"/>
        <v>-0.010496769786882073</v>
      </c>
      <c r="P198" s="55">
        <f t="shared" si="124"/>
        <v>0.0022076954611012422</v>
      </c>
      <c r="Q198" s="55">
        <f t="shared" si="124"/>
        <v>0.003386403206210544</v>
      </c>
      <c r="R198" s="55">
        <f t="shared" si="124"/>
        <v>-0.006636572929443144</v>
      </c>
      <c r="S198" s="55">
        <f t="shared" si="124"/>
        <v>-0.0061137068768528785</v>
      </c>
      <c r="T198" s="55">
        <f t="shared" si="124"/>
        <v>0.07288382350972294</v>
      </c>
      <c r="U198" s="55">
        <f t="shared" si="124"/>
        <v>0.3306868728890118</v>
      </c>
      <c r="V198" s="55">
        <f t="shared" si="124"/>
        <v>0.8235760096529617</v>
      </c>
      <c r="W198" s="55">
        <f t="shared" si="124"/>
        <v>1.4170933153459155</v>
      </c>
      <c r="X198" s="55">
        <f t="shared" si="124"/>
        <v>1.5944873716199126</v>
      </c>
      <c r="Y198" s="55">
        <f t="shared" si="124"/>
        <v>0.6612822491091933</v>
      </c>
      <c r="Z198" s="55">
        <f t="shared" si="124"/>
        <v>-1.1577980098294167</v>
      </c>
    </row>
    <row r="199" spans="1:26" ht="12.75">
      <c r="A199" s="15" t="s">
        <v>170</v>
      </c>
      <c r="B199" s="20">
        <f>$L$9*B190</f>
        <v>15.844563801638236</v>
      </c>
      <c r="C199" s="20">
        <f aca="true" t="shared" si="125" ref="C199:Z199">$L$9*C190</f>
        <v>9.565796066566834</v>
      </c>
      <c r="D199" s="20">
        <f t="shared" si="125"/>
        <v>2.125979380346821</v>
      </c>
      <c r="E199" s="20">
        <f t="shared" si="125"/>
        <v>-6.186376144928234</v>
      </c>
      <c r="F199" s="20">
        <f t="shared" si="125"/>
        <v>-13.758230918807918</v>
      </c>
      <c r="G199" s="20">
        <f t="shared" si="125"/>
        <v>-18.905183189200866</v>
      </c>
      <c r="H199" s="20">
        <f t="shared" si="125"/>
        <v>-20.31316460595469</v>
      </c>
      <c r="I199" s="20">
        <f t="shared" si="125"/>
        <v>-17.794091118706113</v>
      </c>
      <c r="J199" s="20">
        <f t="shared" si="125"/>
        <v>-12.91908099407933</v>
      </c>
      <c r="K199" s="20">
        <f t="shared" si="125"/>
        <v>-8.059416147516199</v>
      </c>
      <c r="L199" s="20">
        <f t="shared" si="125"/>
        <v>-4.574506200427571</v>
      </c>
      <c r="M199" s="20">
        <f t="shared" si="125"/>
        <v>-2.546267091248429</v>
      </c>
      <c r="N199" s="20">
        <f t="shared" si="125"/>
        <v>-1.5840312597627846</v>
      </c>
      <c r="O199" s="20">
        <f t="shared" si="125"/>
        <v>-1.2969170964911663</v>
      </c>
      <c r="P199" s="20">
        <f t="shared" si="125"/>
        <v>-1.3580863085137844</v>
      </c>
      <c r="Q199" s="20">
        <f t="shared" si="125"/>
        <v>-1.4511071348519302</v>
      </c>
      <c r="R199" s="20">
        <f t="shared" si="125"/>
        <v>-1.2226970643726016</v>
      </c>
      <c r="S199" s="20">
        <f t="shared" si="125"/>
        <v>-0.2884703080922098</v>
      </c>
      <c r="T199" s="20">
        <f t="shared" si="125"/>
        <v>1.6825496431239346</v>
      </c>
      <c r="U199" s="20">
        <f t="shared" si="125"/>
        <v>4.825435286879758</v>
      </c>
      <c r="V199" s="20">
        <f t="shared" si="125"/>
        <v>8.941699652109895</v>
      </c>
      <c r="W199" s="20">
        <f t="shared" si="125"/>
        <v>13.375843444520227</v>
      </c>
      <c r="X199" s="20">
        <f t="shared" si="125"/>
        <v>16.937968291650016</v>
      </c>
      <c r="Y199" s="20">
        <f t="shared" si="125"/>
        <v>18.16104465700304</v>
      </c>
      <c r="Z199" s="20">
        <f t="shared" si="125"/>
        <v>15.996605709573918</v>
      </c>
    </row>
    <row r="200" spans="1:26" ht="12.75">
      <c r="A200" s="15" t="s">
        <v>171</v>
      </c>
      <c r="B200" s="20">
        <f>B198+B199</f>
        <v>12.21043128424617</v>
      </c>
      <c r="C200" s="20">
        <f aca="true" t="shared" si="126" ref="C200:Z200">C198+C199</f>
        <v>7.371770975345496</v>
      </c>
      <c r="D200" s="20">
        <f t="shared" si="126"/>
        <v>1.5481929512456571</v>
      </c>
      <c r="E200" s="20">
        <f t="shared" si="126"/>
        <v>-4.212308055757258</v>
      </c>
      <c r="F200" s="20">
        <f t="shared" si="126"/>
        <v>-9.614880144681997</v>
      </c>
      <c r="G200" s="20">
        <f t="shared" si="126"/>
        <v>-14.965721628528119</v>
      </c>
      <c r="H200" s="20">
        <f t="shared" si="126"/>
        <v>-19.153606182549495</v>
      </c>
      <c r="I200" s="20">
        <f t="shared" si="126"/>
        <v>-19.58350555383238</v>
      </c>
      <c r="J200" s="20">
        <f t="shared" si="126"/>
        <v>-15.348131541739436</v>
      </c>
      <c r="K200" s="20">
        <f t="shared" si="126"/>
        <v>-9.491304235669304</v>
      </c>
      <c r="L200" s="20">
        <f t="shared" si="126"/>
        <v>-5.119919154630731</v>
      </c>
      <c r="M200" s="20">
        <f t="shared" si="126"/>
        <v>-2.71125065550458</v>
      </c>
      <c r="N200" s="20">
        <f t="shared" si="126"/>
        <v>-1.629685735668263</v>
      </c>
      <c r="O200" s="20">
        <f t="shared" si="126"/>
        <v>-1.3074138662780483</v>
      </c>
      <c r="P200" s="20">
        <f t="shared" si="126"/>
        <v>-1.3558786130526832</v>
      </c>
      <c r="Q200" s="20">
        <f t="shared" si="126"/>
        <v>-1.4477207316457197</v>
      </c>
      <c r="R200" s="20">
        <f t="shared" si="126"/>
        <v>-1.2293336373020447</v>
      </c>
      <c r="S200" s="20">
        <f t="shared" si="126"/>
        <v>-0.29458401496906267</v>
      </c>
      <c r="T200" s="20">
        <f t="shared" si="126"/>
        <v>1.7554334666336575</v>
      </c>
      <c r="U200" s="20">
        <f t="shared" si="126"/>
        <v>5.15612215976877</v>
      </c>
      <c r="V200" s="20">
        <f t="shared" si="126"/>
        <v>9.765275661762857</v>
      </c>
      <c r="W200" s="20">
        <f t="shared" si="126"/>
        <v>14.792936759866143</v>
      </c>
      <c r="X200" s="20">
        <f t="shared" si="126"/>
        <v>18.53245566326993</v>
      </c>
      <c r="Y200" s="20">
        <f t="shared" si="126"/>
        <v>18.82232690611223</v>
      </c>
      <c r="Z200" s="20">
        <f t="shared" si="126"/>
        <v>14.838807699744502</v>
      </c>
    </row>
    <row r="201" ht="12.75">
      <c r="A201" s="15"/>
    </row>
    <row r="202" spans="1:26" ht="12.75">
      <c r="A202" s="15" t="s">
        <v>172</v>
      </c>
      <c r="B202" s="20">
        <f>((B189^2+B190^2)*$K$9+$M$9*B47^2)/2</f>
        <v>1.3297552781808815</v>
      </c>
      <c r="C202" s="20">
        <f aca="true" t="shared" si="127" ref="C202:Z202">((C189^2+C190^2)*$K$9+$M$9*C47^2)/2</f>
        <v>0.5982476346928458</v>
      </c>
      <c r="D202" s="20">
        <f t="shared" si="127"/>
        <v>0.21933093652872007</v>
      </c>
      <c r="E202" s="20">
        <f t="shared" si="127"/>
        <v>0.3942929691434657</v>
      </c>
      <c r="F202" s="20">
        <f t="shared" si="127"/>
        <v>1.0936046052637116</v>
      </c>
      <c r="G202" s="20">
        <f t="shared" si="127"/>
        <v>1.8376760792796616</v>
      </c>
      <c r="H202" s="20">
        <f t="shared" si="127"/>
        <v>2.025480962963974</v>
      </c>
      <c r="I202" s="20">
        <f t="shared" si="127"/>
        <v>1.5175196621813853</v>
      </c>
      <c r="J202" s="20">
        <f t="shared" si="127"/>
        <v>0.8102691476012461</v>
      </c>
      <c r="K202" s="20">
        <f t="shared" si="127"/>
        <v>0.3665237413955929</v>
      </c>
      <c r="L202" s="20">
        <f t="shared" si="127"/>
        <v>0.19418305258563037</v>
      </c>
      <c r="M202" s="20">
        <f t="shared" si="127"/>
        <v>0.14163403362864788</v>
      </c>
      <c r="N202" s="20">
        <f t="shared" si="127"/>
        <v>0.11976927263129146</v>
      </c>
      <c r="O202" s="20">
        <f t="shared" si="127"/>
        <v>0.10053527117895683</v>
      </c>
      <c r="P202" s="20">
        <f t="shared" si="127"/>
        <v>0.08021456349879076</v>
      </c>
      <c r="Q202" s="20">
        <f t="shared" si="127"/>
        <v>0.05959996813041576</v>
      </c>
      <c r="R202" s="20">
        <f t="shared" si="127"/>
        <v>0.03736850654015679</v>
      </c>
      <c r="S202" s="20">
        <f t="shared" si="127"/>
        <v>0.015625650223624603</v>
      </c>
      <c r="T202" s="20">
        <f t="shared" si="127"/>
        <v>0.01873241177761887</v>
      </c>
      <c r="U202" s="20">
        <f t="shared" si="127"/>
        <v>0.11169307494716993</v>
      </c>
      <c r="V202" s="20">
        <f t="shared" si="127"/>
        <v>0.3839120597228081</v>
      </c>
      <c r="W202" s="20">
        <f t="shared" si="127"/>
        <v>0.8672453334617508</v>
      </c>
      <c r="X202" s="20">
        <f t="shared" si="127"/>
        <v>1.4073785805110592</v>
      </c>
      <c r="Y202" s="20">
        <f t="shared" si="127"/>
        <v>1.653649357453572</v>
      </c>
      <c r="Z202" s="20">
        <f t="shared" si="127"/>
        <v>1.3553979615128295</v>
      </c>
    </row>
    <row r="203" spans="1:26" ht="12.75">
      <c r="A203" s="15" t="s">
        <v>173</v>
      </c>
      <c r="B203" s="20">
        <f>$L$9*(B188-$J$9)</f>
        <v>0</v>
      </c>
      <c r="C203" s="20">
        <f aca="true" t="shared" si="128" ref="C203:Z203">$L$9*(C188-$J$9)</f>
        <v>3.3654458829891136</v>
      </c>
      <c r="D203" s="20">
        <f t="shared" si="128"/>
        <v>4.898141913622577</v>
      </c>
      <c r="E203" s="20">
        <f t="shared" si="128"/>
        <v>4.410461939856575</v>
      </c>
      <c r="F203" s="20">
        <f t="shared" si="128"/>
        <v>2.0079573454818234</v>
      </c>
      <c r="G203" s="20">
        <f t="shared" si="128"/>
        <v>-1.9046723290042145</v>
      </c>
      <c r="H203" s="20">
        <f t="shared" si="128"/>
        <v>-6.6412872057471874</v>
      </c>
      <c r="I203" s="20">
        <f t="shared" si="128"/>
        <v>-11.346031626098101</v>
      </c>
      <c r="J203" s="20">
        <f t="shared" si="128"/>
        <v>-15.270187656256594</v>
      </c>
      <c r="K203" s="20">
        <f t="shared" si="128"/>
        <v>-18.075836003979692</v>
      </c>
      <c r="L203" s="20">
        <f t="shared" si="128"/>
        <v>-19.860077063321608</v>
      </c>
      <c r="M203" s="20">
        <f t="shared" si="128"/>
        <v>-20.925030242583812</v>
      </c>
      <c r="N203" s="20">
        <f t="shared" si="128"/>
        <v>-21.579878594834472</v>
      </c>
      <c r="O203" s="20">
        <f t="shared" si="128"/>
        <v>-22.068148989276157</v>
      </c>
      <c r="P203" s="20">
        <f t="shared" si="128"/>
        <v>-22.5541092290806</v>
      </c>
      <c r="Q203" s="20">
        <f t="shared" si="128"/>
        <v>-23.1091767803149</v>
      </c>
      <c r="R203" s="20">
        <f t="shared" si="128"/>
        <v>-23.677639536741804</v>
      </c>
      <c r="S203" s="20">
        <f t="shared" si="128"/>
        <v>-24.032663985530238</v>
      </c>
      <c r="T203" s="20">
        <f t="shared" si="128"/>
        <v>-23.7689719621022</v>
      </c>
      <c r="U203" s="20">
        <f t="shared" si="128"/>
        <v>-22.399993470492145</v>
      </c>
      <c r="V203" s="20">
        <f t="shared" si="128"/>
        <v>-19.577895002297584</v>
      </c>
      <c r="W203" s="20">
        <f t="shared" si="128"/>
        <v>-15.327535332636684</v>
      </c>
      <c r="X203" s="20">
        <f t="shared" si="128"/>
        <v>-10.119952612192947</v>
      </c>
      <c r="Y203" s="20">
        <f t="shared" si="128"/>
        <v>-4.730760030031957</v>
      </c>
      <c r="Z203" s="20">
        <f t="shared" si="128"/>
        <v>-6.534772722943671E-15</v>
      </c>
    </row>
    <row r="204" spans="1:26" ht="12.75">
      <c r="A204" s="15" t="s">
        <v>174</v>
      </c>
      <c r="B204" s="20">
        <f>B202+B203</f>
        <v>1.3297552781808815</v>
      </c>
      <c r="C204" s="20">
        <f aca="true" t="shared" si="129" ref="C204:Z204">C202+C203</f>
        <v>3.9636935176819597</v>
      </c>
      <c r="D204" s="20">
        <f t="shared" si="129"/>
        <v>5.117472850151296</v>
      </c>
      <c r="E204" s="20">
        <f t="shared" si="129"/>
        <v>4.804754909000041</v>
      </c>
      <c r="F204" s="20">
        <f t="shared" si="129"/>
        <v>3.101561950745535</v>
      </c>
      <c r="G204" s="20">
        <f t="shared" si="129"/>
        <v>-0.06699624972455287</v>
      </c>
      <c r="H204" s="20">
        <f t="shared" si="129"/>
        <v>-4.615806242783213</v>
      </c>
      <c r="I204" s="20">
        <f t="shared" si="129"/>
        <v>-9.828511963916716</v>
      </c>
      <c r="J204" s="20">
        <f t="shared" si="129"/>
        <v>-14.459918508655347</v>
      </c>
      <c r="K204" s="20">
        <f t="shared" si="129"/>
        <v>-17.7093122625841</v>
      </c>
      <c r="L204" s="20">
        <f t="shared" si="129"/>
        <v>-19.66589401073598</v>
      </c>
      <c r="M204" s="20">
        <f t="shared" si="129"/>
        <v>-20.783396208955164</v>
      </c>
      <c r="N204" s="20">
        <f t="shared" si="129"/>
        <v>-21.46010932220318</v>
      </c>
      <c r="O204" s="20">
        <f t="shared" si="129"/>
        <v>-21.9676137180972</v>
      </c>
      <c r="P204" s="20">
        <f t="shared" si="129"/>
        <v>-22.473894665581806</v>
      </c>
      <c r="Q204" s="20">
        <f t="shared" si="129"/>
        <v>-23.049576812184483</v>
      </c>
      <c r="R204" s="20">
        <f t="shared" si="129"/>
        <v>-23.640271030201646</v>
      </c>
      <c r="S204" s="20">
        <f t="shared" si="129"/>
        <v>-24.017038335306612</v>
      </c>
      <c r="T204" s="20">
        <f t="shared" si="129"/>
        <v>-23.75023955032458</v>
      </c>
      <c r="U204" s="20">
        <f t="shared" si="129"/>
        <v>-22.288300395544976</v>
      </c>
      <c r="V204" s="20">
        <f t="shared" si="129"/>
        <v>-19.193982942574777</v>
      </c>
      <c r="W204" s="20">
        <f t="shared" si="129"/>
        <v>-14.460289999174933</v>
      </c>
      <c r="X204" s="20">
        <f t="shared" si="129"/>
        <v>-8.712574031681887</v>
      </c>
      <c r="Y204" s="20">
        <f t="shared" si="129"/>
        <v>-3.077110672578385</v>
      </c>
      <c r="Z204" s="20">
        <f t="shared" si="129"/>
        <v>1.355397961512823</v>
      </c>
    </row>
    <row r="206" ht="13.5" thickBot="1"/>
    <row r="207" spans="1:4" ht="13.5" thickBot="1">
      <c r="A207" s="51" t="s">
        <v>182</v>
      </c>
      <c r="B207" s="51"/>
      <c r="C207" s="51"/>
      <c r="D207" s="51"/>
    </row>
    <row r="208" spans="1:26" ht="12.75">
      <c r="A208" s="20" t="s">
        <v>176</v>
      </c>
      <c r="B208" s="20">
        <f>B54+$I$10-$F$6</f>
        <v>4.000000000000001</v>
      </c>
      <c r="C208" s="20">
        <f aca="true" t="shared" si="130" ref="C208:Z208">C54+$I$10-$F$6</f>
        <v>3.9061719368413437</v>
      </c>
      <c r="D208" s="20">
        <f t="shared" si="130"/>
        <v>3.7153387640815945</v>
      </c>
      <c r="E208" s="20">
        <f t="shared" si="130"/>
        <v>3.435394999108298</v>
      </c>
      <c r="F208" s="20">
        <f t="shared" si="130"/>
        <v>3.0859386929600268</v>
      </c>
      <c r="G208" s="20">
        <f t="shared" si="130"/>
        <v>2.6994771091173453</v>
      </c>
      <c r="H208" s="20">
        <f t="shared" si="130"/>
        <v>2.3205622206692142</v>
      </c>
      <c r="I208" s="20">
        <f t="shared" si="130"/>
        <v>1.9988007587660457</v>
      </c>
      <c r="J208" s="20">
        <f t="shared" si="130"/>
        <v>1.772651206721302</v>
      </c>
      <c r="K208" s="20">
        <f t="shared" si="130"/>
        <v>1.6538320911260769</v>
      </c>
      <c r="L208" s="20">
        <f t="shared" si="130"/>
        <v>1.6296810685493393</v>
      </c>
      <c r="M208" s="20">
        <f t="shared" si="130"/>
        <v>1.6789238495028105</v>
      </c>
      <c r="N208" s="20">
        <f t="shared" si="130"/>
        <v>1.7831016069265209</v>
      </c>
      <c r="O208" s="20">
        <f t="shared" si="130"/>
        <v>1.9294103394924287</v>
      </c>
      <c r="P208" s="20">
        <f t="shared" si="130"/>
        <v>2.1095167596918563</v>
      </c>
      <c r="Q208" s="20">
        <f t="shared" si="130"/>
        <v>2.317602197686937</v>
      </c>
      <c r="R208" s="20">
        <f t="shared" si="130"/>
        <v>2.548590087889326</v>
      </c>
      <c r="S208" s="20">
        <f t="shared" si="130"/>
        <v>2.796643226348504</v>
      </c>
      <c r="T208" s="20">
        <f t="shared" si="130"/>
        <v>3.053906549626581</v>
      </c>
      <c r="U208" s="20">
        <f t="shared" si="130"/>
        <v>3.3095851418363225</v>
      </c>
      <c r="V208" s="20">
        <f t="shared" si="130"/>
        <v>3.549567584345275</v>
      </c>
      <c r="W208" s="20">
        <f t="shared" si="130"/>
        <v>3.7568238660247184</v>
      </c>
      <c r="X208" s="20">
        <f t="shared" si="130"/>
        <v>3.912681992295348</v>
      </c>
      <c r="Y208" s="20">
        <f t="shared" si="130"/>
        <v>3.9988677998860753</v>
      </c>
      <c r="Z208" s="20">
        <f t="shared" si="130"/>
        <v>4.000000000000001</v>
      </c>
    </row>
    <row r="209" spans="1:26" ht="12.75">
      <c r="A209" s="20" t="s">
        <v>177</v>
      </c>
      <c r="B209" s="20">
        <f>B55+$J$10-$G$6</f>
        <v>-0.4999999999999999</v>
      </c>
      <c r="C209" s="20">
        <f aca="true" t="shared" si="131" ref="C209:Z209">C55+$J$10-$G$6</f>
        <v>-0.5360172189236406</v>
      </c>
      <c r="D209" s="20">
        <f t="shared" si="131"/>
        <v>-0.6092712106378074</v>
      </c>
      <c r="E209" s="20">
        <f t="shared" si="131"/>
        <v>-0.7167315538434632</v>
      </c>
      <c r="F209" s="20">
        <f t="shared" si="131"/>
        <v>-0.8508752615901111</v>
      </c>
      <c r="G209" s="20">
        <f t="shared" si="131"/>
        <v>-0.9992239645501403</v>
      </c>
      <c r="H209" s="20">
        <f t="shared" si="131"/>
        <v>-1.1446757625648343</v>
      </c>
      <c r="I209" s="20">
        <f t="shared" si="131"/>
        <v>-1.2681884156498788</v>
      </c>
      <c r="J209" s="20">
        <f t="shared" si="131"/>
        <v>-1.3549990952192257</v>
      </c>
      <c r="K209" s="20">
        <f t="shared" si="131"/>
        <v>-1.4006094803709477</v>
      </c>
      <c r="L209" s="20">
        <f t="shared" si="131"/>
        <v>-1.4098801893474864</v>
      </c>
      <c r="M209" s="20">
        <f t="shared" si="131"/>
        <v>-1.390977656754321</v>
      </c>
      <c r="N209" s="20">
        <f t="shared" si="131"/>
        <v>-1.350987562428716</v>
      </c>
      <c r="O209" s="20">
        <f t="shared" si="131"/>
        <v>-1.2948249019850482</v>
      </c>
      <c r="P209" s="20">
        <f t="shared" si="131"/>
        <v>-1.225688524791512</v>
      </c>
      <c r="Q209" s="20">
        <f t="shared" si="131"/>
        <v>-1.145812008930608</v>
      </c>
      <c r="R209" s="20">
        <f t="shared" si="131"/>
        <v>-1.0571440653532016</v>
      </c>
      <c r="S209" s="20">
        <f t="shared" si="131"/>
        <v>-0.961925386721063</v>
      </c>
      <c r="T209" s="20">
        <f t="shared" si="131"/>
        <v>-0.8631712493809199</v>
      </c>
      <c r="U209" s="20">
        <f t="shared" si="131"/>
        <v>-0.7650254333031136</v>
      </c>
      <c r="V209" s="20">
        <f t="shared" si="131"/>
        <v>-0.6729048045839726</v>
      </c>
      <c r="W209" s="20">
        <f t="shared" si="131"/>
        <v>-0.5933465720120642</v>
      </c>
      <c r="X209" s="20">
        <f t="shared" si="131"/>
        <v>-0.5335182427687616</v>
      </c>
      <c r="Y209" s="20">
        <f t="shared" si="131"/>
        <v>-0.5004346109041989</v>
      </c>
      <c r="Z209" s="20">
        <f t="shared" si="131"/>
        <v>-0.5000000000000003</v>
      </c>
    </row>
    <row r="210" spans="1:26" ht="12.75">
      <c r="A210" s="20" t="s">
        <v>178</v>
      </c>
      <c r="B210" s="20">
        <f>B57</f>
        <v>-0.17294679277980196</v>
      </c>
      <c r="C210" s="20">
        <f aca="true" t="shared" si="132" ref="C210:Z213">C57</f>
        <v>-0.5452804792920829</v>
      </c>
      <c r="D210" s="20">
        <f t="shared" si="132"/>
        <v>-0.9538523817079203</v>
      </c>
      <c r="E210" s="20">
        <f t="shared" si="132"/>
        <v>-1.3267445332629297</v>
      </c>
      <c r="F210" s="20">
        <f t="shared" si="132"/>
        <v>-1.5852984066403102</v>
      </c>
      <c r="G210" s="20">
        <f t="shared" si="132"/>
        <v>-1.6572752613890955</v>
      </c>
      <c r="H210" s="20">
        <f t="shared" si="132"/>
        <v>-1.495834695348047</v>
      </c>
      <c r="I210" s="20">
        <f t="shared" si="132"/>
        <v>-1.1229254725876814</v>
      </c>
      <c r="J210" s="20">
        <f t="shared" si="132"/>
        <v>-0.6573756335454242</v>
      </c>
      <c r="K210" s="20">
        <f t="shared" si="132"/>
        <v>-0.24365995365943716</v>
      </c>
      <c r="L210" s="20">
        <f t="shared" si="132"/>
        <v>0.053675030551475766</v>
      </c>
      <c r="M210" s="20">
        <f t="shared" si="132"/>
        <v>0.24839567363473936</v>
      </c>
      <c r="N210" s="20">
        <f t="shared" si="132"/>
        <v>0.3741728838496583</v>
      </c>
      <c r="O210" s="20">
        <f t="shared" si="132"/>
        <v>0.4566277137822194</v>
      </c>
      <c r="P210" s="20">
        <f t="shared" si="132"/>
        <v>0.5114071799631053</v>
      </c>
      <c r="Q210" s="20">
        <f t="shared" si="132"/>
        <v>0.5476545825287988</v>
      </c>
      <c r="R210" s="20">
        <f t="shared" si="132"/>
        <v>0.5707889355154462</v>
      </c>
      <c r="S210" s="20">
        <f t="shared" si="132"/>
        <v>0.5841363641237043</v>
      </c>
      <c r="T210" s="20">
        <f t="shared" si="132"/>
        <v>0.5894867567882898</v>
      </c>
      <c r="U210" s="20">
        <f t="shared" si="132"/>
        <v>0.5859935113922714</v>
      </c>
      <c r="V210" s="20">
        <f t="shared" si="132"/>
        <v>0.566254091526302</v>
      </c>
      <c r="W210" s="20">
        <f t="shared" si="132"/>
        <v>0.5104303456262187</v>
      </c>
      <c r="X210" s="20">
        <f t="shared" si="132"/>
        <v>0.38574223888447995</v>
      </c>
      <c r="Y210" s="20">
        <f t="shared" si="132"/>
        <v>0.16032086294079187</v>
      </c>
      <c r="Z210" s="20">
        <f t="shared" si="132"/>
        <v>-0.17460636262816062</v>
      </c>
    </row>
    <row r="211" spans="1:26" ht="12.75">
      <c r="A211" s="20" t="s">
        <v>179</v>
      </c>
      <c r="B211" s="20">
        <f>B58</f>
        <v>-0.06638805372288892</v>
      </c>
      <c r="C211" s="20">
        <f aca="true" t="shared" si="133" ref="C211:Q211">C58</f>
        <v>-0.20931356500710474</v>
      </c>
      <c r="D211" s="20">
        <f t="shared" si="133"/>
        <v>-0.3661496240705443</v>
      </c>
      <c r="E211" s="20">
        <f t="shared" si="133"/>
        <v>-0.509289509999488</v>
      </c>
      <c r="F211" s="20">
        <f t="shared" si="133"/>
        <v>-0.608539043108165</v>
      </c>
      <c r="G211" s="20">
        <f t="shared" si="133"/>
        <v>-0.6361683690011917</v>
      </c>
      <c r="H211" s="20">
        <f t="shared" si="133"/>
        <v>-0.5741971419022732</v>
      </c>
      <c r="I211" s="20">
        <f t="shared" si="133"/>
        <v>-0.43105070295155856</v>
      </c>
      <c r="J211" s="20">
        <f t="shared" si="133"/>
        <v>-0.2523428632267093</v>
      </c>
      <c r="K211" s="20">
        <f t="shared" si="133"/>
        <v>-0.09353229298825383</v>
      </c>
      <c r="L211" s="20">
        <f t="shared" si="133"/>
        <v>0.020603913808138752</v>
      </c>
      <c r="M211" s="20">
        <f t="shared" si="133"/>
        <v>0.09535016556677123</v>
      </c>
      <c r="N211" s="20">
        <f t="shared" si="133"/>
        <v>0.14363151299536803</v>
      </c>
      <c r="O211" s="20">
        <f t="shared" si="133"/>
        <v>0.1752829567214398</v>
      </c>
      <c r="P211" s="20">
        <f t="shared" si="133"/>
        <v>0.1963108236467207</v>
      </c>
      <c r="Q211" s="20">
        <f t="shared" si="133"/>
        <v>0.21022489785514098</v>
      </c>
      <c r="R211" s="20">
        <f t="shared" si="132"/>
        <v>0.219105343940529</v>
      </c>
      <c r="S211" s="20">
        <f t="shared" si="132"/>
        <v>0.2242289417434419</v>
      </c>
      <c r="T211" s="20">
        <f t="shared" si="132"/>
        <v>0.22628276506069372</v>
      </c>
      <c r="U211" s="20">
        <f t="shared" si="132"/>
        <v>0.2249418337876092</v>
      </c>
      <c r="V211" s="20">
        <f t="shared" si="132"/>
        <v>0.2173645804285999</v>
      </c>
      <c r="W211" s="20">
        <f t="shared" si="132"/>
        <v>0.19593585207660213</v>
      </c>
      <c r="X211" s="20">
        <f t="shared" si="132"/>
        <v>0.14807257230179172</v>
      </c>
      <c r="Y211" s="20">
        <f t="shared" si="132"/>
        <v>0.061541413348812135</v>
      </c>
      <c r="Z211" s="20">
        <f t="shared" si="132"/>
        <v>-0.06702510290130292</v>
      </c>
    </row>
    <row r="212" spans="1:26" ht="12.75">
      <c r="A212" s="20" t="s">
        <v>180</v>
      </c>
      <c r="B212" s="20">
        <f>B59</f>
        <v>-1.3951070331319524</v>
      </c>
      <c r="C212" s="20">
        <f t="shared" si="132"/>
        <v>-1.533447735497834</v>
      </c>
      <c r="D212" s="20">
        <f t="shared" si="132"/>
        <v>-1.5829997681985553</v>
      </c>
      <c r="E212" s="20">
        <f t="shared" si="132"/>
        <v>-1.3166972433233661</v>
      </c>
      <c r="F212" s="20">
        <f t="shared" si="132"/>
        <v>-0.6916517204797931</v>
      </c>
      <c r="G212" s="20">
        <f t="shared" si="132"/>
        <v>0.2335252479587488</v>
      </c>
      <c r="H212" s="20">
        <f t="shared" si="132"/>
        <v>1.226385022140112</v>
      </c>
      <c r="I212" s="20">
        <f t="shared" si="132"/>
        <v>1.8396972292558076</v>
      </c>
      <c r="J212" s="20">
        <f t="shared" si="132"/>
        <v>1.7710062484451938</v>
      </c>
      <c r="K212" s="20">
        <f t="shared" si="132"/>
        <v>1.2813104060634057</v>
      </c>
      <c r="L212" s="20">
        <f t="shared" si="132"/>
        <v>0.8031519558419974</v>
      </c>
      <c r="M212" s="20">
        <f t="shared" si="132"/>
        <v>0.48503821702255373</v>
      </c>
      <c r="N212" s="20">
        <f t="shared" si="132"/>
        <v>0.2956749800165642</v>
      </c>
      <c r="O212" s="20">
        <f t="shared" si="132"/>
        <v>0.18404107821951698</v>
      </c>
      <c r="P212" s="20">
        <f t="shared" si="132"/>
        <v>0.11712834816604686</v>
      </c>
      <c r="Q212" s="20">
        <f t="shared" si="132"/>
        <v>0.07665328105356303</v>
      </c>
      <c r="R212" s="20">
        <f t="shared" si="132"/>
        <v>0.052698446715830155</v>
      </c>
      <c r="S212" s="20">
        <f t="shared" si="132"/>
        <v>0.039094382727936944</v>
      </c>
      <c r="T212" s="20">
        <f t="shared" si="132"/>
        <v>0.028725421228278866</v>
      </c>
      <c r="U212" s="20">
        <f t="shared" si="132"/>
        <v>0.0060379376665522805</v>
      </c>
      <c r="V212" s="20">
        <f t="shared" si="132"/>
        <v>-0.06282685741163661</v>
      </c>
      <c r="W212" s="20">
        <f t="shared" si="132"/>
        <v>-0.23134332780816094</v>
      </c>
      <c r="X212" s="20">
        <f t="shared" si="132"/>
        <v>-0.546151113729487</v>
      </c>
      <c r="Y212" s="20">
        <f t="shared" si="132"/>
        <v>-0.9941345390104204</v>
      </c>
      <c r="Z212" s="20">
        <f t="shared" si="132"/>
        <v>-1.4686304288966476</v>
      </c>
    </row>
    <row r="213" spans="1:26" ht="12.75">
      <c r="A213" s="20" t="s">
        <v>181</v>
      </c>
      <c r="B213" s="20">
        <f>B60</f>
        <v>-0.5355314150443189</v>
      </c>
      <c r="C213" s="20">
        <f t="shared" si="132"/>
        <v>-0.5886354352641197</v>
      </c>
      <c r="D213" s="20">
        <f t="shared" si="132"/>
        <v>-0.6076566784808253</v>
      </c>
      <c r="E213" s="20">
        <f t="shared" si="132"/>
        <v>-0.505432716742116</v>
      </c>
      <c r="F213" s="20">
        <f t="shared" si="132"/>
        <v>-0.2655002202625607</v>
      </c>
      <c r="G213" s="20">
        <f t="shared" si="132"/>
        <v>0.08964194396409172</v>
      </c>
      <c r="H213" s="20">
        <f t="shared" si="132"/>
        <v>0.4707651031057014</v>
      </c>
      <c r="I213" s="20">
        <f t="shared" si="132"/>
        <v>0.7061936016656092</v>
      </c>
      <c r="J213" s="20">
        <f t="shared" si="132"/>
        <v>0.6798256046011066</v>
      </c>
      <c r="K213" s="20">
        <f t="shared" si="132"/>
        <v>0.49184898260436605</v>
      </c>
      <c r="L213" s="20">
        <f t="shared" si="132"/>
        <v>0.30830115051609525</v>
      </c>
      <c r="M213" s="20">
        <f t="shared" si="132"/>
        <v>0.1861887271326611</v>
      </c>
      <c r="N213" s="20">
        <f t="shared" si="132"/>
        <v>0.1134989908881742</v>
      </c>
      <c r="O213" s="20">
        <f t="shared" si="132"/>
        <v>0.07064675089761235</v>
      </c>
      <c r="P213" s="20">
        <f t="shared" si="132"/>
        <v>0.04496136034405173</v>
      </c>
      <c r="Q213" s="20">
        <f t="shared" si="132"/>
        <v>0.02942443776392445</v>
      </c>
      <c r="R213" s="20">
        <f t="shared" si="132"/>
        <v>0.02022903839643741</v>
      </c>
      <c r="S213" s="20">
        <f t="shared" si="132"/>
        <v>0.015006927501164778</v>
      </c>
      <c r="T213" s="20">
        <f t="shared" si="132"/>
        <v>0.011026656100779035</v>
      </c>
      <c r="U213" s="20">
        <f t="shared" si="132"/>
        <v>0.0023177471159750765</v>
      </c>
      <c r="V213" s="20">
        <f t="shared" si="132"/>
        <v>-0.02411697099462577</v>
      </c>
      <c r="W213" s="20">
        <f t="shared" si="132"/>
        <v>-0.08880438329096162</v>
      </c>
      <c r="X213" s="20">
        <f t="shared" si="132"/>
        <v>-0.20964777025528697</v>
      </c>
      <c r="Y213" s="20">
        <f t="shared" si="132"/>
        <v>-0.3816124955126131</v>
      </c>
      <c r="Z213" s="20">
        <f t="shared" si="132"/>
        <v>-0.5637544024120604</v>
      </c>
    </row>
    <row r="214" spans="1:26" ht="12.75">
      <c r="A214" s="20" t="s">
        <v>183</v>
      </c>
      <c r="B214" s="20">
        <f aca="true" t="shared" si="134" ref="B214:Z214">(B208-B54)^2+(B209-B55)^2</f>
        <v>0.39885538769327317</v>
      </c>
      <c r="C214" s="20">
        <f t="shared" si="134"/>
        <v>0.39885538769327317</v>
      </c>
      <c r="D214" s="20">
        <f t="shared" si="134"/>
        <v>0.39885538769327544</v>
      </c>
      <c r="E214" s="20">
        <f t="shared" si="134"/>
        <v>0.39885538769327544</v>
      </c>
      <c r="F214" s="20">
        <f t="shared" si="134"/>
        <v>0.3988553876932738</v>
      </c>
      <c r="G214" s="20">
        <f t="shared" si="134"/>
        <v>0.39885538769327433</v>
      </c>
      <c r="H214" s="20">
        <f t="shared" si="134"/>
        <v>0.3988553876932738</v>
      </c>
      <c r="I214" s="20">
        <f t="shared" si="134"/>
        <v>0.3988553876932738</v>
      </c>
      <c r="J214" s="20">
        <f t="shared" si="134"/>
        <v>0.39885538769327433</v>
      </c>
      <c r="K214" s="20">
        <f t="shared" si="134"/>
        <v>0.39885538769327433</v>
      </c>
      <c r="L214" s="20">
        <f t="shared" si="134"/>
        <v>0.3988553876932738</v>
      </c>
      <c r="M214" s="20">
        <f t="shared" si="134"/>
        <v>0.39885538769327433</v>
      </c>
      <c r="N214" s="20">
        <f t="shared" si="134"/>
        <v>0.3988553876932738</v>
      </c>
      <c r="O214" s="20">
        <f t="shared" si="134"/>
        <v>0.3988553876932749</v>
      </c>
      <c r="P214" s="20">
        <f t="shared" si="134"/>
        <v>0.39885538769327433</v>
      </c>
      <c r="Q214" s="20">
        <f t="shared" si="134"/>
        <v>0.3988553876932749</v>
      </c>
      <c r="R214" s="20">
        <f t="shared" si="134"/>
        <v>0.3988553876932749</v>
      </c>
      <c r="S214" s="20">
        <f t="shared" si="134"/>
        <v>0.39885538769327433</v>
      </c>
      <c r="T214" s="20">
        <f t="shared" si="134"/>
        <v>0.39885538769327433</v>
      </c>
      <c r="U214" s="20">
        <f t="shared" si="134"/>
        <v>0.39885538769327433</v>
      </c>
      <c r="V214" s="20">
        <f t="shared" si="134"/>
        <v>0.39885538769327433</v>
      </c>
      <c r="W214" s="20">
        <f t="shared" si="134"/>
        <v>0.39885538769327433</v>
      </c>
      <c r="X214" s="20">
        <f t="shared" si="134"/>
        <v>0.39885538769327317</v>
      </c>
      <c r="Y214" s="20">
        <f t="shared" si="134"/>
        <v>0.39885538769327544</v>
      </c>
      <c r="Z214" s="20">
        <f t="shared" si="134"/>
        <v>0.39885538769327317</v>
      </c>
    </row>
    <row r="215" spans="1:26" ht="12.75">
      <c r="A215" s="20" t="s">
        <v>188</v>
      </c>
      <c r="B215" s="20">
        <f aca="true" t="shared" si="135" ref="B215:Z215">$E$8+$F$8*(B43-$B$43)+$G$8*((B43-$B$43))^2</f>
        <v>1</v>
      </c>
      <c r="C215" s="20">
        <f t="shared" si="135"/>
        <v>0.8567943408624361</v>
      </c>
      <c r="D215" s="20">
        <f t="shared" si="135"/>
        <v>0.7466743793447789</v>
      </c>
      <c r="E215" s="20">
        <f t="shared" si="135"/>
        <v>0.6824355925138039</v>
      </c>
      <c r="F215" s="20">
        <f t="shared" si="135"/>
        <v>0.6673493254979754</v>
      </c>
      <c r="G215" s="20">
        <f t="shared" si="135"/>
        <v>0.6921971983448034</v>
      </c>
      <c r="H215" s="20">
        <f t="shared" si="135"/>
        <v>0.7341725109228845</v>
      </c>
      <c r="I215" s="20">
        <f t="shared" si="135"/>
        <v>0.7626974471001189</v>
      </c>
      <c r="J215" s="20">
        <f t="shared" si="135"/>
        <v>0.7564327017751042</v>
      </c>
      <c r="K215" s="20">
        <f t="shared" si="135"/>
        <v>0.7201470500642811</v>
      </c>
      <c r="L215" s="20">
        <f t="shared" si="135"/>
        <v>0.6806240601415117</v>
      </c>
      <c r="M215" s="20">
        <f t="shared" si="135"/>
        <v>0.6672010393991417</v>
      </c>
      <c r="N215" s="20">
        <f t="shared" si="135"/>
        <v>0.6983181323110789</v>
      </c>
      <c r="O215" s="20">
        <f t="shared" si="135"/>
        <v>0.778749236771487</v>
      </c>
      <c r="P215" s="20">
        <f t="shared" si="135"/>
        <v>0.9016993791640284</v>
      </c>
      <c r="Q215" s="20">
        <f t="shared" si="135"/>
        <v>1.0518953745076765</v>
      </c>
      <c r="R215" s="20">
        <f t="shared" si="135"/>
        <v>1.2087331686154603</v>
      </c>
      <c r="S215" s="20">
        <f t="shared" si="135"/>
        <v>1.3495825700681865</v>
      </c>
      <c r="T215" s="20">
        <f t="shared" si="135"/>
        <v>1.4533512414620648</v>
      </c>
      <c r="U215" s="20">
        <f t="shared" si="135"/>
        <v>1.504050441882299</v>
      </c>
      <c r="V215" s="20">
        <f t="shared" si="135"/>
        <v>1.4937279365597274</v>
      </c>
      <c r="W215" s="20">
        <f t="shared" si="135"/>
        <v>1.424010391498573</v>
      </c>
      <c r="X215" s="20">
        <f t="shared" si="135"/>
        <v>1.3057831565933045</v>
      </c>
      <c r="Y215" s="20">
        <f t="shared" si="135"/>
        <v>1.1571093390075136</v>
      </c>
      <c r="Z215" s="20">
        <f t="shared" si="135"/>
        <v>1.0000000000000002</v>
      </c>
    </row>
    <row r="216" spans="1:26" ht="12.75">
      <c r="A216" s="20" t="s">
        <v>189</v>
      </c>
      <c r="B216" s="20">
        <f>$E$9+$F$9*(B43-$B$43)+$G$9*((B43-$B$43))^2</f>
        <v>2</v>
      </c>
      <c r="C216" s="20">
        <f aca="true" t="shared" si="136" ref="C216:Z216">$E$9+$F$9*(C43-$B$43)+$G$9*((C43-$B$43))^2</f>
        <v>1.7818632393535974</v>
      </c>
      <c r="D216" s="20">
        <f t="shared" si="136"/>
        <v>1.6055571239202489</v>
      </c>
      <c r="E216" s="20">
        <f t="shared" si="136"/>
        <v>1.4896364803223494</v>
      </c>
      <c r="F216" s="20">
        <f t="shared" si="136"/>
        <v>1.4403263701875986</v>
      </c>
      <c r="G216" s="20">
        <f t="shared" si="136"/>
        <v>1.4477349460755302</v>
      </c>
      <c r="H216" s="20">
        <f t="shared" si="136"/>
        <v>1.4844500722935785</v>
      </c>
      <c r="I216" s="20">
        <f t="shared" si="136"/>
        <v>1.512847447063295</v>
      </c>
      <c r="J216" s="20">
        <f t="shared" si="136"/>
        <v>1.5064725574456461</v>
      </c>
      <c r="K216" s="20">
        <f t="shared" si="136"/>
        <v>1.4712459491790764</v>
      </c>
      <c r="L216" s="20">
        <f t="shared" si="136"/>
        <v>1.44031797687074</v>
      </c>
      <c r="M216" s="20">
        <f t="shared" si="136"/>
        <v>1.4496057145872732</v>
      </c>
      <c r="N216" s="20">
        <f t="shared" si="136"/>
        <v>1.5208849223398144</v>
      </c>
      <c r="O216" s="20">
        <f t="shared" si="136"/>
        <v>1.6583177269093978</v>
      </c>
      <c r="P216" s="20">
        <f t="shared" si="136"/>
        <v>1.8511215299053518</v>
      </c>
      <c r="Q216" s="20">
        <f t="shared" si="136"/>
        <v>2.0775303248068666</v>
      </c>
      <c r="R216" s="20">
        <f t="shared" si="136"/>
        <v>2.3088914777660112</v>
      </c>
      <c r="S216" s="20">
        <f t="shared" si="136"/>
        <v>2.5140372846414247</v>
      </c>
      <c r="T216" s="20">
        <f t="shared" si="136"/>
        <v>2.664051281424146</v>
      </c>
      <c r="U216" s="20">
        <f t="shared" si="136"/>
        <v>2.737064673477371</v>
      </c>
      <c r="V216" s="20">
        <f t="shared" si="136"/>
        <v>2.7222125142916997</v>
      </c>
      <c r="W216" s="20">
        <f t="shared" si="136"/>
        <v>2.621716725947331</v>
      </c>
      <c r="X216" s="20">
        <f t="shared" si="136"/>
        <v>2.4504535296836973</v>
      </c>
      <c r="Y216" s="20">
        <f t="shared" si="136"/>
        <v>2.233143908304658</v>
      </c>
      <c r="Z216" s="20">
        <f t="shared" si="136"/>
        <v>2.0000000000000004</v>
      </c>
    </row>
    <row r="217" spans="1:26" ht="12.75">
      <c r="A217" s="20" t="s">
        <v>190</v>
      </c>
      <c r="B217" s="20">
        <f>$E$10+$F$10*(B43-$B$43)+$G$10*((B43-$B$43))^2</f>
        <v>4</v>
      </c>
      <c r="C217" s="20">
        <f aca="true" t="shared" si="137" ref="C217:Z217">$E$10+$F$10*(C43-$B$43)+$G$10*((C43-$B$43))^2</f>
        <v>3.6320010363359203</v>
      </c>
      <c r="D217" s="20">
        <f t="shared" si="137"/>
        <v>3.323322613071189</v>
      </c>
      <c r="E217" s="20">
        <f t="shared" si="137"/>
        <v>3.10403825593944</v>
      </c>
      <c r="F217" s="20">
        <f t="shared" si="137"/>
        <v>2.9862804595668444</v>
      </c>
      <c r="G217" s="20">
        <f t="shared" si="137"/>
        <v>2.9588104415369836</v>
      </c>
      <c r="H217" s="20">
        <f t="shared" si="137"/>
        <v>2.985005195034967</v>
      </c>
      <c r="I217" s="20">
        <f t="shared" si="137"/>
        <v>3.0131474469896475</v>
      </c>
      <c r="J217" s="20">
        <f t="shared" si="137"/>
        <v>3.0065522687867294</v>
      </c>
      <c r="K217" s="20">
        <f t="shared" si="137"/>
        <v>2.973443747408667</v>
      </c>
      <c r="L217" s="20">
        <f t="shared" si="137"/>
        <v>2.9597058103291967</v>
      </c>
      <c r="M217" s="20">
        <f t="shared" si="137"/>
        <v>3.0144150649635364</v>
      </c>
      <c r="N217" s="20">
        <f t="shared" si="137"/>
        <v>3.166018502397286</v>
      </c>
      <c r="O217" s="20">
        <f t="shared" si="137"/>
        <v>3.4174547071852195</v>
      </c>
      <c r="P217" s="20">
        <f t="shared" si="137"/>
        <v>3.749965831387999</v>
      </c>
      <c r="Q217" s="20">
        <f t="shared" si="137"/>
        <v>4.128800225405246</v>
      </c>
      <c r="R217" s="20">
        <f t="shared" si="137"/>
        <v>4.5092080960671135</v>
      </c>
      <c r="S217" s="20">
        <f t="shared" si="137"/>
        <v>4.842946713787902</v>
      </c>
      <c r="T217" s="20">
        <f t="shared" si="137"/>
        <v>5.0854513613483086</v>
      </c>
      <c r="U217" s="20">
        <f t="shared" si="137"/>
        <v>5.2030931366675155</v>
      </c>
      <c r="V217" s="20">
        <f t="shared" si="137"/>
        <v>5.179181669755645</v>
      </c>
      <c r="W217" s="20">
        <f t="shared" si="137"/>
        <v>5.017129394844847</v>
      </c>
      <c r="X217" s="20">
        <f t="shared" si="137"/>
        <v>4.739794275864483</v>
      </c>
      <c r="Y217" s="20">
        <f t="shared" si="137"/>
        <v>4.385213046898945</v>
      </c>
      <c r="Z217" s="20">
        <f t="shared" si="137"/>
        <v>4.000000000000001</v>
      </c>
    </row>
    <row r="218" spans="1:26" ht="12.75">
      <c r="A218" s="20" t="s">
        <v>187</v>
      </c>
      <c r="B218" s="20">
        <f>B215*B210+B216*B211+B217*0</f>
        <v>-0.3057229002255798</v>
      </c>
      <c r="C218" s="20">
        <f>C215*C210+C216*C211+C217*0</f>
        <v>-0.8401613758244229</v>
      </c>
      <c r="D218" s="20">
        <f aca="true" t="shared" si="138" ref="D218:Z218">D215*D210+D216*D211+D217*0</f>
        <v>-1.300091272445484</v>
      </c>
      <c r="E218" s="20">
        <f t="shared" si="138"/>
        <v>-1.664073924812469</v>
      </c>
      <c r="F218" s="20">
        <f t="shared" si="138"/>
        <v>-1.934442653461844</v>
      </c>
      <c r="G218" s="20">
        <f t="shared" si="138"/>
        <v>-2.068164472210582</v>
      </c>
      <c r="H218" s="20">
        <f t="shared" si="138"/>
        <v>-1.9505677030168393</v>
      </c>
      <c r="I218" s="20">
        <f t="shared" si="138"/>
        <v>-1.5085663467414232</v>
      </c>
      <c r="J218" s="20">
        <f t="shared" si="138"/>
        <v>-0.8774080250821836</v>
      </c>
      <c r="K218" s="20">
        <f t="shared" si="138"/>
        <v>-0.3130800040230421</v>
      </c>
      <c r="L218" s="20">
        <f t="shared" si="138"/>
        <v>0.06620870467392263</v>
      </c>
      <c r="M218" s="20">
        <f t="shared" si="138"/>
        <v>0.3039499965237823</v>
      </c>
      <c r="N218" s="20">
        <f t="shared" si="138"/>
        <v>0.479738711898854</v>
      </c>
      <c r="O218" s="20">
        <f t="shared" si="138"/>
        <v>0.6462733179528688</v>
      </c>
      <c r="P218" s="20">
        <f t="shared" si="138"/>
        <v>0.8245307288786559</v>
      </c>
      <c r="Q218" s="20">
        <f t="shared" si="138"/>
        <v>1.0128239225134574</v>
      </c>
      <c r="R218" s="20">
        <f t="shared" si="138"/>
        <v>1.195821979993509</v>
      </c>
      <c r="S218" s="20">
        <f t="shared" si="138"/>
        <v>1.3520601754030577</v>
      </c>
      <c r="T218" s="20">
        <f t="shared" si="138"/>
        <v>1.4595602000278474</v>
      </c>
      <c r="U218" s="20">
        <f t="shared" si="138"/>
        <v>1.4970441465969895</v>
      </c>
      <c r="V218" s="20">
        <f t="shared" si="138"/>
        <v>1.4375421367105856</v>
      </c>
      <c r="W218" s="20">
        <f t="shared" si="138"/>
        <v>1.2405464169099134</v>
      </c>
      <c r="X218" s="20">
        <f t="shared" si="138"/>
        <v>0.8665406757682147</v>
      </c>
      <c r="Y218" s="20">
        <f t="shared" si="138"/>
        <v>0.32293960007489264</v>
      </c>
      <c r="Z218" s="20">
        <f t="shared" si="138"/>
        <v>-0.3086565684307665</v>
      </c>
    </row>
    <row r="219" spans="2:26" ht="13.5" thickBot="1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3.5" thickBot="1">
      <c r="A220" s="62" t="s">
        <v>191</v>
      </c>
      <c r="B220" s="63"/>
      <c r="C220" s="6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>
      <c r="A221" s="20" t="s">
        <v>192</v>
      </c>
      <c r="B221" s="20">
        <f>B215+B152</f>
        <v>-1.0926605496979285</v>
      </c>
      <c r="C221" s="20">
        <f aca="true" t="shared" si="139" ref="C221:Z221">C215+C152</f>
        <v>-1.4433772623843149</v>
      </c>
      <c r="D221" s="20">
        <f t="shared" si="139"/>
        <v>-1.627825272953054</v>
      </c>
      <c r="E221" s="20">
        <f t="shared" si="139"/>
        <v>-1.2926102724712452</v>
      </c>
      <c r="F221" s="20">
        <f t="shared" si="139"/>
        <v>-0.3701282552217142</v>
      </c>
      <c r="G221" s="20">
        <f t="shared" si="139"/>
        <v>1.0424850702829267</v>
      </c>
      <c r="H221" s="20">
        <f t="shared" si="139"/>
        <v>2.5737500441330523</v>
      </c>
      <c r="I221" s="20">
        <f t="shared" si="139"/>
        <v>3.5222432909838304</v>
      </c>
      <c r="J221" s="20">
        <f t="shared" si="139"/>
        <v>3.4129420744428947</v>
      </c>
      <c r="K221" s="20">
        <f t="shared" si="139"/>
        <v>2.6421126591593898</v>
      </c>
      <c r="L221" s="20">
        <f t="shared" si="139"/>
        <v>1.8853519939045078</v>
      </c>
      <c r="M221" s="20">
        <f t="shared" si="139"/>
        <v>1.3947583649329722</v>
      </c>
      <c r="N221" s="20">
        <f t="shared" si="139"/>
        <v>1.1418306023359253</v>
      </c>
      <c r="O221" s="20">
        <f t="shared" si="139"/>
        <v>1.0548108541007624</v>
      </c>
      <c r="P221" s="20">
        <f t="shared" si="139"/>
        <v>1.0773919014130988</v>
      </c>
      <c r="Q221" s="20">
        <f t="shared" si="139"/>
        <v>1.166875296088021</v>
      </c>
      <c r="R221" s="20">
        <f t="shared" si="139"/>
        <v>1.2877808386892056</v>
      </c>
      <c r="S221" s="20">
        <f t="shared" si="139"/>
        <v>1.408224144160092</v>
      </c>
      <c r="T221" s="20">
        <f t="shared" si="139"/>
        <v>1.4964393733044832</v>
      </c>
      <c r="U221" s="20">
        <f t="shared" si="139"/>
        <v>1.5131073483821276</v>
      </c>
      <c r="V221" s="20">
        <f t="shared" si="139"/>
        <v>1.3994876504422724</v>
      </c>
      <c r="W221" s="20">
        <f t="shared" si="139"/>
        <v>1.0769953997863315</v>
      </c>
      <c r="X221" s="20">
        <f t="shared" si="139"/>
        <v>0.486556485999074</v>
      </c>
      <c r="Y221" s="20">
        <f t="shared" si="139"/>
        <v>-0.3340924695081171</v>
      </c>
      <c r="Z221" s="20">
        <f t="shared" si="139"/>
        <v>-1.2029456433449714</v>
      </c>
    </row>
    <row r="222" spans="1:26" ht="12.75">
      <c r="A222" s="20" t="s">
        <v>198</v>
      </c>
      <c r="B222" s="20">
        <f>B216+B153+$L$7</f>
        <v>15.911702877433521</v>
      </c>
      <c r="C222" s="20">
        <f aca="true" t="shared" si="140" ref="C222:Z222">C216+C153+$L$7</f>
        <v>15.613910086457418</v>
      </c>
      <c r="D222" s="20">
        <f t="shared" si="140"/>
        <v>15.40907210619901</v>
      </c>
      <c r="E222" s="20">
        <f t="shared" si="140"/>
        <v>15.446487405209176</v>
      </c>
      <c r="F222" s="20">
        <f t="shared" si="140"/>
        <v>15.757076039793757</v>
      </c>
      <c r="G222" s="20">
        <f t="shared" si="140"/>
        <v>16.29719786202167</v>
      </c>
      <c r="H222" s="20">
        <f t="shared" si="140"/>
        <v>16.90559772695213</v>
      </c>
      <c r="I222" s="20">
        <f t="shared" si="140"/>
        <v>17.28713784956171</v>
      </c>
      <c r="J222" s="20">
        <f t="shared" si="140"/>
        <v>17.241210964347307</v>
      </c>
      <c r="K222" s="20">
        <f t="shared" si="140"/>
        <v>16.924019423085625</v>
      </c>
      <c r="L222" s="20">
        <f t="shared" si="140"/>
        <v>16.617769702644882</v>
      </c>
      <c r="M222" s="20">
        <f t="shared" si="140"/>
        <v>16.443888805286264</v>
      </c>
      <c r="N222" s="20">
        <f t="shared" si="140"/>
        <v>16.406133408672076</v>
      </c>
      <c r="O222" s="20">
        <f t="shared" si="140"/>
        <v>16.479287853255816</v>
      </c>
      <c r="P222" s="20">
        <f t="shared" si="140"/>
        <v>16.63356357042143</v>
      </c>
      <c r="Q222" s="20">
        <f t="shared" si="140"/>
        <v>16.83666698145275</v>
      </c>
      <c r="R222" s="20">
        <f t="shared" si="140"/>
        <v>17.054235035360666</v>
      </c>
      <c r="S222" s="20">
        <f t="shared" si="140"/>
        <v>17.25154767589317</v>
      </c>
      <c r="T222" s="20">
        <f t="shared" si="140"/>
        <v>17.395591265575312</v>
      </c>
      <c r="U222" s="20">
        <f t="shared" si="140"/>
        <v>17.455541294151335</v>
      </c>
      <c r="V222" s="20">
        <f t="shared" si="140"/>
        <v>17.401037057799762</v>
      </c>
      <c r="W222" s="20">
        <f t="shared" si="140"/>
        <v>17.20351015101089</v>
      </c>
      <c r="X222" s="20">
        <f t="shared" si="140"/>
        <v>16.850981874300768</v>
      </c>
      <c r="Y222" s="20">
        <f t="shared" si="140"/>
        <v>16.37572516503574</v>
      </c>
      <c r="Z222" s="20">
        <f t="shared" si="140"/>
        <v>15.86936839638191</v>
      </c>
    </row>
    <row r="223" spans="1:26" ht="12.75">
      <c r="A223" s="20" t="s">
        <v>199</v>
      </c>
      <c r="B223" s="54" t="s">
        <v>193</v>
      </c>
      <c r="C223" s="54" t="s">
        <v>193</v>
      </c>
      <c r="D223" s="54" t="s">
        <v>193</v>
      </c>
      <c r="E223" s="54" t="s">
        <v>193</v>
      </c>
      <c r="F223" s="54" t="s">
        <v>193</v>
      </c>
      <c r="G223" s="54" t="s">
        <v>193</v>
      </c>
      <c r="H223" s="54" t="s">
        <v>193</v>
      </c>
      <c r="I223" s="54" t="s">
        <v>193</v>
      </c>
      <c r="J223" s="54" t="s">
        <v>193</v>
      </c>
      <c r="K223" s="54" t="s">
        <v>193</v>
      </c>
      <c r="L223" s="54" t="s">
        <v>193</v>
      </c>
      <c r="M223" s="54" t="s">
        <v>193</v>
      </c>
      <c r="N223" s="54" t="s">
        <v>193</v>
      </c>
      <c r="O223" s="54" t="s">
        <v>193</v>
      </c>
      <c r="P223" s="54" t="s">
        <v>193</v>
      </c>
      <c r="Q223" s="54" t="s">
        <v>193</v>
      </c>
      <c r="R223" s="54" t="s">
        <v>193</v>
      </c>
      <c r="S223" s="54" t="s">
        <v>193</v>
      </c>
      <c r="T223" s="54" t="s">
        <v>193</v>
      </c>
      <c r="U223" s="54" t="s">
        <v>193</v>
      </c>
      <c r="V223" s="54" t="s">
        <v>193</v>
      </c>
      <c r="W223" s="54" t="s">
        <v>193</v>
      </c>
      <c r="X223" s="54" t="s">
        <v>193</v>
      </c>
      <c r="Y223" s="54" t="s">
        <v>193</v>
      </c>
      <c r="Z223" s="54" t="s">
        <v>193</v>
      </c>
    </row>
    <row r="224" spans="1:26" ht="12.75">
      <c r="A224" s="20" t="s">
        <v>200</v>
      </c>
      <c r="B224" s="20">
        <f>B221*B57+B222*B58</f>
        <v>-0.8673748477824306</v>
      </c>
      <c r="C224" s="20">
        <f aca="true" t="shared" si="141" ref="C224:Z224">C221*C57+C222*C58</f>
        <v>-2.4811577384645793</v>
      </c>
      <c r="D224" s="20">
        <f t="shared" si="141"/>
        <v>-4.089320945350062</v>
      </c>
      <c r="E224" s="20">
        <f t="shared" si="141"/>
        <v>-6.151770389171514</v>
      </c>
      <c r="F224" s="20">
        <f t="shared" si="141"/>
        <v>-9.002032242183146</v>
      </c>
      <c r="G224" s="20">
        <f t="shared" si="141"/>
        <v>-12.095446500519401</v>
      </c>
      <c r="H224" s="20">
        <f t="shared" si="141"/>
        <v>-13.557050510133267</v>
      </c>
      <c r="I224" s="20">
        <f t="shared" si="141"/>
        <v>-11.406849634170877</v>
      </c>
      <c r="J224" s="20">
        <f t="shared" si="141"/>
        <v>-6.594281498679864</v>
      </c>
      <c r="K224" s="20">
        <f t="shared" si="141"/>
        <v>-2.2267193913127326</v>
      </c>
      <c r="L224" s="20">
        <f t="shared" si="141"/>
        <v>0.4435874205099049</v>
      </c>
      <c r="M224" s="20">
        <f t="shared" si="141"/>
        <v>1.9143794637608345</v>
      </c>
      <c r="N224" s="20">
        <f t="shared" si="141"/>
        <v>2.7836798132352505</v>
      </c>
      <c r="O224" s="20">
        <f t="shared" si="141"/>
        <v>3.3701941683630885</v>
      </c>
      <c r="P224" s="20">
        <f t="shared" si="141"/>
        <v>3.81633451870628</v>
      </c>
      <c r="Q224" s="20">
        <f t="shared" si="141"/>
        <v>4.178531199539183</v>
      </c>
      <c r="R224" s="20">
        <f t="shared" si="141"/>
        <v>4.471725087157918</v>
      </c>
      <c r="S224" s="20">
        <f t="shared" si="141"/>
        <v>4.690891210242952</v>
      </c>
      <c r="T224" s="20">
        <f t="shared" si="141"/>
        <v>4.818453684339595</v>
      </c>
      <c r="U224" s="20">
        <f t="shared" si="141"/>
        <v>4.81315255665363</v>
      </c>
      <c r="V224" s="20">
        <f t="shared" si="141"/>
        <v>4.574834727194632</v>
      </c>
      <c r="W224" s="20">
        <f t="shared" si="141"/>
        <v>3.9205155542975776</v>
      </c>
      <c r="X224" s="20">
        <f t="shared" si="141"/>
        <v>2.68285362019163</v>
      </c>
      <c r="Y224" s="20">
        <f t="shared" si="141"/>
        <v>0.9542232782544477</v>
      </c>
      <c r="Z224" s="20">
        <f t="shared" si="141"/>
        <v>-0.8536040865223241</v>
      </c>
    </row>
    <row r="225" spans="1:26" s="46" customFormat="1" ht="12.75">
      <c r="A225" s="57" t="s">
        <v>194</v>
      </c>
      <c r="B225" s="57">
        <f aca="true" t="shared" si="142" ref="B225:Z225">B224-(B218+B158)</f>
        <v>0</v>
      </c>
      <c r="C225" s="57">
        <f t="shared" si="142"/>
        <v>0</v>
      </c>
      <c r="D225" s="57">
        <f t="shared" si="142"/>
        <v>0</v>
      </c>
      <c r="E225" s="57">
        <f t="shared" si="142"/>
        <v>0</v>
      </c>
      <c r="F225" s="57">
        <f t="shared" si="142"/>
        <v>0</v>
      </c>
      <c r="G225" s="57">
        <f t="shared" si="142"/>
        <v>0</v>
      </c>
      <c r="H225" s="57">
        <f t="shared" si="142"/>
        <v>0</v>
      </c>
      <c r="I225" s="57">
        <f t="shared" si="142"/>
        <v>0</v>
      </c>
      <c r="J225" s="57">
        <f t="shared" si="142"/>
        <v>0</v>
      </c>
      <c r="K225" s="57">
        <f t="shared" si="142"/>
        <v>0</v>
      </c>
      <c r="L225" s="57">
        <f t="shared" si="142"/>
        <v>0</v>
      </c>
      <c r="M225" s="57">
        <f t="shared" si="142"/>
        <v>0</v>
      </c>
      <c r="N225" s="57">
        <f t="shared" si="142"/>
        <v>0</v>
      </c>
      <c r="O225" s="57">
        <f t="shared" si="142"/>
        <v>0</v>
      </c>
      <c r="P225" s="57">
        <f t="shared" si="142"/>
        <v>0</v>
      </c>
      <c r="Q225" s="57">
        <f t="shared" si="142"/>
        <v>0</v>
      </c>
      <c r="R225" s="57">
        <f t="shared" si="142"/>
        <v>0</v>
      </c>
      <c r="S225" s="57">
        <f t="shared" si="142"/>
        <v>0</v>
      </c>
      <c r="T225" s="57">
        <f t="shared" si="142"/>
        <v>0</v>
      </c>
      <c r="U225" s="57">
        <f t="shared" si="142"/>
        <v>0</v>
      </c>
      <c r="V225" s="57">
        <f t="shared" si="142"/>
        <v>0</v>
      </c>
      <c r="W225" s="57">
        <f t="shared" si="142"/>
        <v>0</v>
      </c>
      <c r="X225" s="57">
        <f t="shared" si="142"/>
        <v>0</v>
      </c>
      <c r="Y225" s="57">
        <f t="shared" si="142"/>
        <v>0</v>
      </c>
      <c r="Z225" s="57">
        <f t="shared" si="142"/>
        <v>0</v>
      </c>
    </row>
    <row r="226" spans="2:26" ht="13.5" thickBot="1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3.5" thickBot="1">
      <c r="A227" s="62" t="s">
        <v>195</v>
      </c>
      <c r="B227" s="63"/>
      <c r="C227" s="6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>
      <c r="A228" s="20" t="s">
        <v>196</v>
      </c>
      <c r="B228" s="20">
        <f>B215+B152</f>
        <v>-1.0926605496979285</v>
      </c>
      <c r="C228" s="20">
        <f>C215+C152</f>
        <v>-1.4433772623843149</v>
      </c>
      <c r="D228" s="20">
        <f>D215+D152</f>
        <v>-1.627825272953054</v>
      </c>
      <c r="E228" s="20">
        <f>E215+E152</f>
        <v>-1.2926102724712452</v>
      </c>
      <c r="F228" s="20">
        <f>F215+F152</f>
        <v>-0.3701282552217142</v>
      </c>
      <c r="G228" s="20">
        <f aca="true" t="shared" si="143" ref="G228:Z228">G215+G152</f>
        <v>1.0424850702829267</v>
      </c>
      <c r="H228" s="20">
        <f t="shared" si="143"/>
        <v>2.5737500441330523</v>
      </c>
      <c r="I228" s="20">
        <f t="shared" si="143"/>
        <v>3.5222432909838304</v>
      </c>
      <c r="J228" s="20">
        <f t="shared" si="143"/>
        <v>3.4129420744428947</v>
      </c>
      <c r="K228" s="20">
        <f t="shared" si="143"/>
        <v>2.6421126591593898</v>
      </c>
      <c r="L228" s="20">
        <f t="shared" si="143"/>
        <v>1.8853519939045078</v>
      </c>
      <c r="M228" s="20">
        <f t="shared" si="143"/>
        <v>1.3947583649329722</v>
      </c>
      <c r="N228" s="20">
        <f t="shared" si="143"/>
        <v>1.1418306023359253</v>
      </c>
      <c r="O228" s="20">
        <f t="shared" si="143"/>
        <v>1.0548108541007624</v>
      </c>
      <c r="P228" s="20">
        <f t="shared" si="143"/>
        <v>1.0773919014130988</v>
      </c>
      <c r="Q228" s="20">
        <f t="shared" si="143"/>
        <v>1.166875296088021</v>
      </c>
      <c r="R228" s="20">
        <f t="shared" si="143"/>
        <v>1.2877808386892056</v>
      </c>
      <c r="S228" s="20">
        <f t="shared" si="143"/>
        <v>1.408224144160092</v>
      </c>
      <c r="T228" s="20">
        <f t="shared" si="143"/>
        <v>1.4964393733044832</v>
      </c>
      <c r="U228" s="20">
        <f t="shared" si="143"/>
        <v>1.5131073483821276</v>
      </c>
      <c r="V228" s="20">
        <f t="shared" si="143"/>
        <v>1.3994876504422724</v>
      </c>
      <c r="W228" s="20">
        <f t="shared" si="143"/>
        <v>1.0769953997863315</v>
      </c>
      <c r="X228" s="20">
        <f t="shared" si="143"/>
        <v>0.486556485999074</v>
      </c>
      <c r="Y228" s="20">
        <f t="shared" si="143"/>
        <v>-0.3340924695081171</v>
      </c>
      <c r="Z228" s="20">
        <f t="shared" si="143"/>
        <v>-1.2029456433449714</v>
      </c>
    </row>
    <row r="229" spans="1:26" ht="12.75">
      <c r="A229" s="20" t="s">
        <v>197</v>
      </c>
      <c r="B229" s="20">
        <f>B216+B153+$L$7</f>
        <v>15.911702877433521</v>
      </c>
      <c r="C229" s="20">
        <f>C216+C153+$L$7</f>
        <v>15.613910086457418</v>
      </c>
      <c r="D229" s="20">
        <f>D216+D153+$L$7</f>
        <v>15.40907210619901</v>
      </c>
      <c r="E229" s="20">
        <f>E216+E153+$L$7</f>
        <v>15.446487405209176</v>
      </c>
      <c r="F229" s="20">
        <f>F216+F153+$L$7</f>
        <v>15.757076039793757</v>
      </c>
      <c r="G229" s="20">
        <f aca="true" t="shared" si="144" ref="G229:Z229">G216+G153+$L$7</f>
        <v>16.29719786202167</v>
      </c>
      <c r="H229" s="20">
        <f t="shared" si="144"/>
        <v>16.90559772695213</v>
      </c>
      <c r="I229" s="20">
        <f t="shared" si="144"/>
        <v>17.28713784956171</v>
      </c>
      <c r="J229" s="20">
        <f t="shared" si="144"/>
        <v>17.241210964347307</v>
      </c>
      <c r="K229" s="20">
        <f t="shared" si="144"/>
        <v>16.924019423085625</v>
      </c>
      <c r="L229" s="20">
        <f t="shared" si="144"/>
        <v>16.617769702644882</v>
      </c>
      <c r="M229" s="20">
        <f t="shared" si="144"/>
        <v>16.443888805286264</v>
      </c>
      <c r="N229" s="20">
        <f t="shared" si="144"/>
        <v>16.406133408672076</v>
      </c>
      <c r="O229" s="20">
        <f t="shared" si="144"/>
        <v>16.479287853255816</v>
      </c>
      <c r="P229" s="20">
        <f t="shared" si="144"/>
        <v>16.63356357042143</v>
      </c>
      <c r="Q229" s="20">
        <f t="shared" si="144"/>
        <v>16.83666698145275</v>
      </c>
      <c r="R229" s="20">
        <f t="shared" si="144"/>
        <v>17.054235035360666</v>
      </c>
      <c r="S229" s="20">
        <f t="shared" si="144"/>
        <v>17.25154767589317</v>
      </c>
      <c r="T229" s="20">
        <f t="shared" si="144"/>
        <v>17.395591265575312</v>
      </c>
      <c r="U229" s="20">
        <f t="shared" si="144"/>
        <v>17.455541294151335</v>
      </c>
      <c r="V229" s="20">
        <f t="shared" si="144"/>
        <v>17.401037057799762</v>
      </c>
      <c r="W229" s="20">
        <f t="shared" si="144"/>
        <v>17.20351015101089</v>
      </c>
      <c r="X229" s="20">
        <f t="shared" si="144"/>
        <v>16.850981874300768</v>
      </c>
      <c r="Y229" s="20">
        <f t="shared" si="144"/>
        <v>16.37572516503574</v>
      </c>
      <c r="Z229" s="20">
        <f t="shared" si="144"/>
        <v>15.86936839638191</v>
      </c>
    </row>
    <row r="230" spans="1:26" ht="12.75">
      <c r="A230" s="20" t="s">
        <v>201</v>
      </c>
      <c r="B230" s="54">
        <f>0</f>
        <v>0</v>
      </c>
      <c r="C230" s="54">
        <f>0</f>
        <v>0</v>
      </c>
      <c r="D230" s="54">
        <f>0</f>
        <v>0</v>
      </c>
      <c r="E230" s="54">
        <f>0</f>
        <v>0</v>
      </c>
      <c r="F230" s="54">
        <f>0</f>
        <v>0</v>
      </c>
      <c r="G230" s="54">
        <f>0</f>
        <v>0</v>
      </c>
      <c r="H230" s="54">
        <f>0</f>
        <v>0</v>
      </c>
      <c r="I230" s="54">
        <f>0</f>
        <v>0</v>
      </c>
      <c r="J230" s="54">
        <f>0</f>
        <v>0</v>
      </c>
      <c r="K230" s="54">
        <f>0</f>
        <v>0</v>
      </c>
      <c r="L230" s="54">
        <f>0</f>
        <v>0</v>
      </c>
      <c r="M230" s="54">
        <f>0</f>
        <v>0</v>
      </c>
      <c r="N230" s="54">
        <f>0</f>
        <v>0</v>
      </c>
      <c r="O230" s="54">
        <f>0</f>
        <v>0</v>
      </c>
      <c r="P230" s="54">
        <f>0</f>
        <v>0</v>
      </c>
      <c r="Q230" s="54">
        <f>0</f>
        <v>0</v>
      </c>
      <c r="R230" s="54">
        <f>0</f>
        <v>0</v>
      </c>
      <c r="S230" s="54">
        <f>0</f>
        <v>0</v>
      </c>
      <c r="T230" s="54">
        <f>0</f>
        <v>0</v>
      </c>
      <c r="U230" s="54">
        <f>0</f>
        <v>0</v>
      </c>
      <c r="V230" s="54">
        <f>0</f>
        <v>0</v>
      </c>
      <c r="W230" s="54">
        <f>0</f>
        <v>0</v>
      </c>
      <c r="X230" s="54">
        <f>0</f>
        <v>0</v>
      </c>
      <c r="Y230" s="54">
        <f>0</f>
        <v>0</v>
      </c>
      <c r="Z230" s="54">
        <f>0</f>
        <v>0</v>
      </c>
    </row>
    <row r="231" spans="1:26" ht="12.75">
      <c r="A231" s="20" t="s">
        <v>202</v>
      </c>
      <c r="B231" s="20">
        <f>B221*B57+B222*B58</f>
        <v>-0.8673748477824306</v>
      </c>
      <c r="C231" s="20">
        <f>C221*C57+C222*C58</f>
        <v>-2.4811577384645793</v>
      </c>
      <c r="D231" s="20">
        <f>D221*D57+D222*D58</f>
        <v>-4.089320945350062</v>
      </c>
      <c r="E231" s="20">
        <f>E221*E57+E222*E58</f>
        <v>-6.151770389171514</v>
      </c>
      <c r="F231" s="20">
        <f>F221*F57+F222*F58</f>
        <v>-9.002032242183146</v>
      </c>
      <c r="G231" s="20">
        <f aca="true" t="shared" si="145" ref="G231:Z231">G221*G57+G222*G58</f>
        <v>-12.095446500519401</v>
      </c>
      <c r="H231" s="20">
        <f t="shared" si="145"/>
        <v>-13.557050510133267</v>
      </c>
      <c r="I231" s="20">
        <f t="shared" si="145"/>
        <v>-11.406849634170877</v>
      </c>
      <c r="J231" s="20">
        <f t="shared" si="145"/>
        <v>-6.594281498679864</v>
      </c>
      <c r="K231" s="20">
        <f t="shared" si="145"/>
        <v>-2.2267193913127326</v>
      </c>
      <c r="L231" s="20">
        <f t="shared" si="145"/>
        <v>0.4435874205099049</v>
      </c>
      <c r="M231" s="20">
        <f t="shared" si="145"/>
        <v>1.9143794637608345</v>
      </c>
      <c r="N231" s="20">
        <f t="shared" si="145"/>
        <v>2.7836798132352505</v>
      </c>
      <c r="O231" s="20">
        <f t="shared" si="145"/>
        <v>3.3701941683630885</v>
      </c>
      <c r="P231" s="20">
        <f t="shared" si="145"/>
        <v>3.81633451870628</v>
      </c>
      <c r="Q231" s="20">
        <f t="shared" si="145"/>
        <v>4.178531199539183</v>
      </c>
      <c r="R231" s="20">
        <f t="shared" si="145"/>
        <v>4.471725087157918</v>
      </c>
      <c r="S231" s="20">
        <f t="shared" si="145"/>
        <v>4.690891210242952</v>
      </c>
      <c r="T231" s="20">
        <f t="shared" si="145"/>
        <v>4.818453684339595</v>
      </c>
      <c r="U231" s="20">
        <f t="shared" si="145"/>
        <v>4.81315255665363</v>
      </c>
      <c r="V231" s="20">
        <f t="shared" si="145"/>
        <v>4.574834727194632</v>
      </c>
      <c r="W231" s="20">
        <f t="shared" si="145"/>
        <v>3.9205155542975776</v>
      </c>
      <c r="X231" s="20">
        <f t="shared" si="145"/>
        <v>2.68285362019163</v>
      </c>
      <c r="Y231" s="20">
        <f t="shared" si="145"/>
        <v>0.9542232782544477</v>
      </c>
      <c r="Z231" s="20">
        <f t="shared" si="145"/>
        <v>-0.8536040865223241</v>
      </c>
    </row>
    <row r="232" spans="1:26" s="46" customFormat="1" ht="12.75">
      <c r="A232" s="57" t="s">
        <v>194</v>
      </c>
      <c r="B232" s="57">
        <f>B224-(B218+B158)</f>
        <v>0</v>
      </c>
      <c r="C232" s="57">
        <f>C224-(C218+C158)</f>
        <v>0</v>
      </c>
      <c r="D232" s="57">
        <f>D224-(D218+D158)</f>
        <v>0</v>
      </c>
      <c r="E232" s="57">
        <f>E224-(E218+E158)</f>
        <v>0</v>
      </c>
      <c r="F232" s="57">
        <f>F224-(F218+F158)</f>
        <v>0</v>
      </c>
      <c r="G232" s="57">
        <f aca="true" t="shared" si="146" ref="G232:Z232">G224-(G218+G158)</f>
        <v>0</v>
      </c>
      <c r="H232" s="57">
        <f t="shared" si="146"/>
        <v>0</v>
      </c>
      <c r="I232" s="57">
        <f t="shared" si="146"/>
        <v>0</v>
      </c>
      <c r="J232" s="57">
        <f t="shared" si="146"/>
        <v>0</v>
      </c>
      <c r="K232" s="57">
        <f t="shared" si="146"/>
        <v>0</v>
      </c>
      <c r="L232" s="57">
        <f t="shared" si="146"/>
        <v>0</v>
      </c>
      <c r="M232" s="57">
        <f t="shared" si="146"/>
        <v>0</v>
      </c>
      <c r="N232" s="57">
        <f t="shared" si="146"/>
        <v>0</v>
      </c>
      <c r="O232" s="57">
        <f t="shared" si="146"/>
        <v>0</v>
      </c>
      <c r="P232" s="57">
        <f t="shared" si="146"/>
        <v>0</v>
      </c>
      <c r="Q232" s="57">
        <f t="shared" si="146"/>
        <v>0</v>
      </c>
      <c r="R232" s="57">
        <f t="shared" si="146"/>
        <v>0</v>
      </c>
      <c r="S232" s="57">
        <f t="shared" si="146"/>
        <v>0</v>
      </c>
      <c r="T232" s="57">
        <f t="shared" si="146"/>
        <v>0</v>
      </c>
      <c r="U232" s="57">
        <f t="shared" si="146"/>
        <v>0</v>
      </c>
      <c r="V232" s="57">
        <f t="shared" si="146"/>
        <v>0</v>
      </c>
      <c r="W232" s="57">
        <f t="shared" si="146"/>
        <v>0</v>
      </c>
      <c r="X232" s="57">
        <f t="shared" si="146"/>
        <v>0</v>
      </c>
      <c r="Y232" s="57">
        <f t="shared" si="146"/>
        <v>0</v>
      </c>
      <c r="Z232" s="57">
        <f t="shared" si="146"/>
        <v>0</v>
      </c>
    </row>
    <row r="233" spans="1:26" ht="13.5" thickBo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3.5" thickBot="1">
      <c r="A234" s="62" t="s">
        <v>203</v>
      </c>
      <c r="B234" s="63"/>
      <c r="C234" s="6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>
      <c r="A235" s="20" t="s">
        <v>204</v>
      </c>
      <c r="B235" s="20">
        <f>B194</f>
        <v>-3.244310226350472</v>
      </c>
      <c r="C235" s="20">
        <f>C194</f>
        <v>-3.244310226350472</v>
      </c>
      <c r="D235" s="20">
        <f>D194</f>
        <v>-3.8442373369624265</v>
      </c>
      <c r="E235" s="20">
        <f>E194</f>
        <v>-4.513648227016789</v>
      </c>
      <c r="F235" s="20">
        <f>F194</f>
        <v>-4.259817673812634</v>
      </c>
      <c r="G235" s="20">
        <f aca="true" t="shared" si="147" ref="G235:Z235">G194</f>
        <v>-2.9475276017170198</v>
      </c>
      <c r="H235" s="20">
        <f t="shared" si="147"/>
        <v>-0.8074524390938672</v>
      </c>
      <c r="I235" s="20">
        <f t="shared" si="147"/>
        <v>1.4224500660226007</v>
      </c>
      <c r="J235" s="20">
        <f t="shared" si="147"/>
        <v>2.6595418880217925</v>
      </c>
      <c r="K235" s="20">
        <f t="shared" si="147"/>
        <v>2.513086276404475</v>
      </c>
      <c r="L235" s="20">
        <f t="shared" si="147"/>
        <v>1.686487519408482</v>
      </c>
      <c r="M235" s="20">
        <f t="shared" si="147"/>
        <v>0.9165129970776484</v>
      </c>
      <c r="N235" s="20">
        <f t="shared" si="147"/>
        <v>0.40768198156711716</v>
      </c>
      <c r="O235" s="20">
        <f t="shared" si="147"/>
        <v>0.11448414908912502</v>
      </c>
      <c r="P235" s="20">
        <f t="shared" si="147"/>
        <v>-0.02299395606992493</v>
      </c>
      <c r="Q235" s="20">
        <f t="shared" si="147"/>
        <v>-0.03300966315659282</v>
      </c>
      <c r="R235" s="20">
        <f t="shared" si="147"/>
        <v>0.07677625163369539</v>
      </c>
      <c r="S235" s="20">
        <f t="shared" si="147"/>
        <v>0.29978189296833</v>
      </c>
      <c r="T235" s="20">
        <f t="shared" si="147"/>
        <v>0.6127243848009998</v>
      </c>
      <c r="U235" s="20">
        <f t="shared" si="147"/>
        <v>0.9693539023665156</v>
      </c>
      <c r="V235" s="20">
        <f t="shared" si="147"/>
        <v>1.3028232874487828</v>
      </c>
      <c r="W235" s="20">
        <f t="shared" si="147"/>
        <v>1.498577390135828</v>
      </c>
      <c r="X235" s="20">
        <f t="shared" si="147"/>
        <v>1.3315628557457293</v>
      </c>
      <c r="Y235" s="20">
        <f t="shared" si="147"/>
        <v>0.5150482811595607</v>
      </c>
      <c r="Z235" s="20">
        <f t="shared" si="147"/>
        <v>-1.023780520330657</v>
      </c>
    </row>
    <row r="236" spans="1:26" ht="12.75">
      <c r="A236" s="20" t="s">
        <v>210</v>
      </c>
      <c r="B236" s="20">
        <f>B195+$L$9</f>
        <v>26.985236889143685</v>
      </c>
      <c r="C236" s="20">
        <f>C195+$L$9</f>
        <v>26.985236889143685</v>
      </c>
      <c r="D236" s="20">
        <f>D195+$L$9</f>
        <v>26.533159385175583</v>
      </c>
      <c r="E236" s="20">
        <f>E195+$L$9</f>
        <v>26.0287220977922</v>
      </c>
      <c r="F236" s="20">
        <f>F195+$L$9</f>
        <v>26.219997139199023</v>
      </c>
      <c r="G236" s="20">
        <f aca="true" t="shared" si="148" ref="G236:Z236">G195+$L$9</f>
        <v>27.208878637936365</v>
      </c>
      <c r="H236" s="20">
        <f t="shared" si="148"/>
        <v>28.82154094425544</v>
      </c>
      <c r="I236" s="20">
        <f t="shared" si="148"/>
        <v>30.501893008320316</v>
      </c>
      <c r="J236" s="20">
        <f t="shared" si="148"/>
        <v>31.434108561136853</v>
      </c>
      <c r="K236" s="20">
        <f t="shared" si="148"/>
        <v>31.32374634184234</v>
      </c>
      <c r="L236" s="20">
        <f t="shared" si="148"/>
        <v>30.70085950069808</v>
      </c>
      <c r="M236" s="20">
        <f t="shared" si="148"/>
        <v>30.120642080919712</v>
      </c>
      <c r="N236" s="20">
        <f t="shared" si="148"/>
        <v>29.737210408363833</v>
      </c>
      <c r="O236" s="20">
        <f t="shared" si="148"/>
        <v>29.516269994218682</v>
      </c>
      <c r="P236" s="20">
        <f t="shared" si="148"/>
        <v>29.412672811275623</v>
      </c>
      <c r="Q236" s="20">
        <f t="shared" si="148"/>
        <v>29.40512543463582</v>
      </c>
      <c r="R236" s="20">
        <f t="shared" si="148"/>
        <v>29.487855055370282</v>
      </c>
      <c r="S236" s="20">
        <f t="shared" si="148"/>
        <v>29.65590185959377</v>
      </c>
      <c r="T236" s="20">
        <f t="shared" si="148"/>
        <v>29.891720941763538</v>
      </c>
      <c r="U236" s="20">
        <f t="shared" si="148"/>
        <v>30.160460559111236</v>
      </c>
      <c r="V236" s="20">
        <f t="shared" si="148"/>
        <v>30.411747764825268</v>
      </c>
      <c r="W236" s="20">
        <f t="shared" si="148"/>
        <v>30.55925906172933</v>
      </c>
      <c r="X236" s="20">
        <f t="shared" si="148"/>
        <v>30.433404582913635</v>
      </c>
      <c r="Y236" s="20">
        <f t="shared" si="148"/>
        <v>29.81811671826627</v>
      </c>
      <c r="Z236" s="20">
        <f t="shared" si="148"/>
        <v>28.658526042488482</v>
      </c>
    </row>
    <row r="237" spans="1:26" ht="12.75">
      <c r="A237" s="20" t="s">
        <v>211</v>
      </c>
      <c r="B237" s="20">
        <f>$M$9*0</f>
        <v>0</v>
      </c>
      <c r="C237" s="20">
        <f aca="true" t="shared" si="149" ref="C237:Z237">$M$9*0</f>
        <v>0</v>
      </c>
      <c r="D237" s="20">
        <f t="shared" si="149"/>
        <v>0</v>
      </c>
      <c r="E237" s="20">
        <f t="shared" si="149"/>
        <v>0</v>
      </c>
      <c r="F237" s="20">
        <f t="shared" si="149"/>
        <v>0</v>
      </c>
      <c r="G237" s="20">
        <f t="shared" si="149"/>
        <v>0</v>
      </c>
      <c r="H237" s="20">
        <f t="shared" si="149"/>
        <v>0</v>
      </c>
      <c r="I237" s="20">
        <f t="shared" si="149"/>
        <v>0</v>
      </c>
      <c r="J237" s="20">
        <f t="shared" si="149"/>
        <v>0</v>
      </c>
      <c r="K237" s="20">
        <f t="shared" si="149"/>
        <v>0</v>
      </c>
      <c r="L237" s="20">
        <f t="shared" si="149"/>
        <v>0</v>
      </c>
      <c r="M237" s="20">
        <f t="shared" si="149"/>
        <v>0</v>
      </c>
      <c r="N237" s="20">
        <f t="shared" si="149"/>
        <v>0</v>
      </c>
      <c r="O237" s="20">
        <f t="shared" si="149"/>
        <v>0</v>
      </c>
      <c r="P237" s="20">
        <f t="shared" si="149"/>
        <v>0</v>
      </c>
      <c r="Q237" s="20">
        <f t="shared" si="149"/>
        <v>0</v>
      </c>
      <c r="R237" s="20">
        <f t="shared" si="149"/>
        <v>0</v>
      </c>
      <c r="S237" s="20">
        <f t="shared" si="149"/>
        <v>0</v>
      </c>
      <c r="T237" s="20">
        <f t="shared" si="149"/>
        <v>0</v>
      </c>
      <c r="U237" s="20">
        <f t="shared" si="149"/>
        <v>0</v>
      </c>
      <c r="V237" s="20">
        <f t="shared" si="149"/>
        <v>0</v>
      </c>
      <c r="W237" s="20">
        <f t="shared" si="149"/>
        <v>0</v>
      </c>
      <c r="X237" s="20">
        <f t="shared" si="149"/>
        <v>0</v>
      </c>
      <c r="Y237" s="20">
        <f t="shared" si="149"/>
        <v>0</v>
      </c>
      <c r="Z237" s="20">
        <f t="shared" si="149"/>
        <v>0</v>
      </c>
    </row>
    <row r="238" spans="1:26" ht="12.75">
      <c r="A238" s="20" t="s">
        <v>212</v>
      </c>
      <c r="B238" s="20">
        <f>B235*B73+B236*B74</f>
        <v>12.21043128424617</v>
      </c>
      <c r="C238" s="20">
        <f>C235*C73+C236*C74</f>
        <v>7.371770975345496</v>
      </c>
      <c r="D238" s="20">
        <f>D235*D73+D236*D74</f>
        <v>1.5481929512456571</v>
      </c>
      <c r="E238" s="20">
        <f>E235*E73+E236*E74</f>
        <v>-4.2123080557572585</v>
      </c>
      <c r="F238" s="20">
        <f>F235*F73+F236*F74</f>
        <v>-9.614880144681997</v>
      </c>
      <c r="G238" s="20">
        <f aca="true" t="shared" si="150" ref="G238:Z238">G235*G73+G236*G74</f>
        <v>-14.965721628528117</v>
      </c>
      <c r="H238" s="20">
        <f t="shared" si="150"/>
        <v>-19.1536061825495</v>
      </c>
      <c r="I238" s="20">
        <f t="shared" si="150"/>
        <v>-19.58350555383238</v>
      </c>
      <c r="J238" s="20">
        <f t="shared" si="150"/>
        <v>-15.348131541739436</v>
      </c>
      <c r="K238" s="20">
        <f t="shared" si="150"/>
        <v>-9.491304235669306</v>
      </c>
      <c r="L238" s="20">
        <f t="shared" si="150"/>
        <v>-5.119919154630731</v>
      </c>
      <c r="M238" s="20">
        <f t="shared" si="150"/>
        <v>-2.71125065550458</v>
      </c>
      <c r="N238" s="20">
        <f t="shared" si="150"/>
        <v>-1.6296857356682628</v>
      </c>
      <c r="O238" s="20">
        <f t="shared" si="150"/>
        <v>-1.3074138662780486</v>
      </c>
      <c r="P238" s="20">
        <f t="shared" si="150"/>
        <v>-1.355878613052683</v>
      </c>
      <c r="Q238" s="20">
        <f t="shared" si="150"/>
        <v>-1.4477207316457197</v>
      </c>
      <c r="R238" s="20">
        <f t="shared" si="150"/>
        <v>-1.229333637302045</v>
      </c>
      <c r="S238" s="20">
        <f t="shared" si="150"/>
        <v>-0.29458401496906267</v>
      </c>
      <c r="T238" s="20">
        <f t="shared" si="150"/>
        <v>1.7554334666336577</v>
      </c>
      <c r="U238" s="20">
        <f t="shared" si="150"/>
        <v>5.15612215976877</v>
      </c>
      <c r="V238" s="20">
        <f t="shared" si="150"/>
        <v>9.765275661762857</v>
      </c>
      <c r="W238" s="20">
        <f t="shared" si="150"/>
        <v>14.79293675986614</v>
      </c>
      <c r="X238" s="20">
        <f t="shared" si="150"/>
        <v>18.53245566326993</v>
      </c>
      <c r="Y238" s="20">
        <f t="shared" si="150"/>
        <v>18.82232690611223</v>
      </c>
      <c r="Z238" s="20">
        <f t="shared" si="150"/>
        <v>14.8388076997445</v>
      </c>
    </row>
    <row r="239" spans="1:26" s="46" customFormat="1" ht="12.75">
      <c r="A239" s="57" t="s">
        <v>194</v>
      </c>
      <c r="B239" s="57">
        <f aca="true" t="shared" si="151" ref="B239:Z239">B238-B200</f>
        <v>0</v>
      </c>
      <c r="C239" s="57">
        <f t="shared" si="151"/>
        <v>0</v>
      </c>
      <c r="D239" s="57">
        <f t="shared" si="151"/>
        <v>0</v>
      </c>
      <c r="E239" s="57">
        <f t="shared" si="151"/>
        <v>0</v>
      </c>
      <c r="F239" s="57">
        <f t="shared" si="151"/>
        <v>0</v>
      </c>
      <c r="G239" s="57">
        <f t="shared" si="151"/>
        <v>0</v>
      </c>
      <c r="H239" s="57">
        <f t="shared" si="151"/>
        <v>0</v>
      </c>
      <c r="I239" s="57">
        <f t="shared" si="151"/>
        <v>0</v>
      </c>
      <c r="J239" s="57">
        <f t="shared" si="151"/>
        <v>0</v>
      </c>
      <c r="K239" s="57">
        <f t="shared" si="151"/>
        <v>0</v>
      </c>
      <c r="L239" s="57">
        <f t="shared" si="151"/>
        <v>0</v>
      </c>
      <c r="M239" s="57">
        <f t="shared" si="151"/>
        <v>0</v>
      </c>
      <c r="N239" s="57">
        <f t="shared" si="151"/>
        <v>0</v>
      </c>
      <c r="O239" s="57">
        <f t="shared" si="151"/>
        <v>0</v>
      </c>
      <c r="P239" s="57">
        <f t="shared" si="151"/>
        <v>0</v>
      </c>
      <c r="Q239" s="57">
        <f t="shared" si="151"/>
        <v>0</v>
      </c>
      <c r="R239" s="57">
        <f t="shared" si="151"/>
        <v>0</v>
      </c>
      <c r="S239" s="57">
        <f t="shared" si="151"/>
        <v>0</v>
      </c>
      <c r="T239" s="57">
        <f t="shared" si="151"/>
        <v>0</v>
      </c>
      <c r="U239" s="57">
        <f t="shared" si="151"/>
        <v>0</v>
      </c>
      <c r="V239" s="57">
        <f t="shared" si="151"/>
        <v>0</v>
      </c>
      <c r="W239" s="57">
        <f t="shared" si="151"/>
        <v>0</v>
      </c>
      <c r="X239" s="57">
        <f t="shared" si="151"/>
        <v>0</v>
      </c>
      <c r="Y239" s="57">
        <f t="shared" si="151"/>
        <v>0</v>
      </c>
      <c r="Z239" s="57">
        <f t="shared" si="151"/>
        <v>0</v>
      </c>
    </row>
    <row r="240" spans="1:26" ht="13.5" thickBo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3.5" thickBot="1">
      <c r="A241" s="62" t="s">
        <v>208</v>
      </c>
      <c r="B241" s="63"/>
      <c r="C241" s="6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>
      <c r="A242" s="20" t="s">
        <v>205</v>
      </c>
      <c r="B242" s="20">
        <f>B173+B235</f>
        <v>-4.285909281925928</v>
      </c>
      <c r="C242" s="20">
        <f aca="true" t="shared" si="152" ref="C242:Z242">C173+C235</f>
        <v>-4.279705986576694</v>
      </c>
      <c r="D242" s="20">
        <f t="shared" si="152"/>
        <v>-5.088878090071854</v>
      </c>
      <c r="E242" s="20">
        <f t="shared" si="152"/>
        <v>-6.004131927613201</v>
      </c>
      <c r="F242" s="20">
        <f t="shared" si="152"/>
        <v>-5.702638822044101</v>
      </c>
      <c r="G242" s="20">
        <f t="shared" si="152"/>
        <v>-4.000695920109871</v>
      </c>
      <c r="H242" s="20">
        <f t="shared" si="152"/>
        <v>-1.1922522114518284</v>
      </c>
      <c r="I242" s="20">
        <f t="shared" si="152"/>
        <v>1.7645578564957258</v>
      </c>
      <c r="J242" s="20">
        <f t="shared" si="152"/>
        <v>3.4401719873603795</v>
      </c>
      <c r="K242" s="20">
        <f t="shared" si="152"/>
        <v>3.29166173868571</v>
      </c>
      <c r="L242" s="20">
        <f t="shared" si="152"/>
        <v>2.22885522082046</v>
      </c>
      <c r="M242" s="20">
        <f t="shared" si="152"/>
        <v>1.226789105929301</v>
      </c>
      <c r="N242" s="20">
        <f t="shared" si="152"/>
        <v>0.5612718309935899</v>
      </c>
      <c r="O242" s="20">
        <f t="shared" si="152"/>
        <v>0.17540416464063252</v>
      </c>
      <c r="P242" s="20">
        <f t="shared" si="152"/>
        <v>-0.007778933181339282</v>
      </c>
      <c r="Q242" s="20">
        <f t="shared" si="152"/>
        <v>-0.02367476891297724</v>
      </c>
      <c r="R242" s="20">
        <f t="shared" si="152"/>
        <v>0.1192597232756055</v>
      </c>
      <c r="S242" s="20">
        <f t="shared" si="152"/>
        <v>0.4135262869296803</v>
      </c>
      <c r="T242" s="20">
        <f t="shared" si="152"/>
        <v>0.8289936223091017</v>
      </c>
      <c r="U242" s="20">
        <f t="shared" si="152"/>
        <v>1.3047599730725314</v>
      </c>
      <c r="V242" s="20">
        <f t="shared" si="152"/>
        <v>1.7525050088357153</v>
      </c>
      <c r="W242" s="20">
        <f t="shared" si="152"/>
        <v>2.020220507072792</v>
      </c>
      <c r="X242" s="20">
        <f t="shared" si="152"/>
        <v>1.8077556863015207</v>
      </c>
      <c r="Y242" s="20">
        <f t="shared" si="152"/>
        <v>0.7307742492719886</v>
      </c>
      <c r="Z242" s="20">
        <f t="shared" si="152"/>
        <v>-1.3121613498149756</v>
      </c>
    </row>
    <row r="243" spans="1:26" ht="12.75">
      <c r="A243" s="20" t="s">
        <v>209</v>
      </c>
      <c r="B243" s="20">
        <f>B174+B236+$L$8</f>
        <v>35.99533780855631</v>
      </c>
      <c r="C243" s="20">
        <f aca="true" t="shared" si="153" ref="C243:Z243">C174+C236+$L$8</f>
        <v>35.9900565575455</v>
      </c>
      <c r="D243" s="20">
        <f t="shared" si="153"/>
        <v>35.367123243848624</v>
      </c>
      <c r="E243" s="20">
        <f t="shared" si="153"/>
        <v>34.67361144948886</v>
      </c>
      <c r="F243" s="20">
        <f t="shared" si="153"/>
        <v>34.91222244933838</v>
      </c>
      <c r="G243" s="20">
        <f t="shared" si="153"/>
        <v>36.22232124460054</v>
      </c>
      <c r="H243" s="20">
        <f t="shared" si="153"/>
        <v>38.372931178937534</v>
      </c>
      <c r="I243" s="20">
        <f t="shared" si="153"/>
        <v>40.61960937778162</v>
      </c>
      <c r="J243" s="20">
        <f t="shared" si="153"/>
        <v>41.87006320422616</v>
      </c>
      <c r="K243" s="20">
        <f t="shared" si="153"/>
        <v>41.730244168453424</v>
      </c>
      <c r="L243" s="20">
        <f t="shared" si="153"/>
        <v>40.9076834570047</v>
      </c>
      <c r="M243" s="20">
        <f t="shared" si="153"/>
        <v>40.14305240689009</v>
      </c>
      <c r="N243" s="20">
        <f t="shared" si="153"/>
        <v>39.64127475622796</v>
      </c>
      <c r="O243" s="20">
        <f t="shared" si="153"/>
        <v>39.35549319908015</v>
      </c>
      <c r="P243" s="20">
        <f t="shared" si="153"/>
        <v>39.224504165428705</v>
      </c>
      <c r="Q243" s="20">
        <f t="shared" si="153"/>
        <v>39.21945386342632</v>
      </c>
      <c r="R243" s="20">
        <f t="shared" si="153"/>
        <v>39.33281428183561</v>
      </c>
      <c r="S243" s="20">
        <f t="shared" si="153"/>
        <v>39.55867885456758</v>
      </c>
      <c r="T243" s="20">
        <f t="shared" si="153"/>
        <v>39.87475695748603</v>
      </c>
      <c r="U243" s="20">
        <f t="shared" si="153"/>
        <v>40.23588814559398</v>
      </c>
      <c r="V243" s="20">
        <f t="shared" si="153"/>
        <v>40.57592014195066</v>
      </c>
      <c r="W243" s="20">
        <f t="shared" si="153"/>
        <v>40.77938413545515</v>
      </c>
      <c r="X243" s="20">
        <f t="shared" si="153"/>
        <v>40.61732578635076</v>
      </c>
      <c r="Y243" s="20">
        <f t="shared" si="153"/>
        <v>39.79690635633255</v>
      </c>
      <c r="Z243" s="20">
        <f t="shared" si="153"/>
        <v>38.24115426750015</v>
      </c>
    </row>
    <row r="244" spans="1:26" ht="12.75">
      <c r="A244" s="20" t="s">
        <v>213</v>
      </c>
      <c r="B244" s="20">
        <f>B175-B173*(B167-B71)+(B174+$L$8)*(B166-B70)</f>
        <v>-1.7967703579682563</v>
      </c>
      <c r="C244" s="20">
        <f aca="true" t="shared" si="154" ref="C244:Z244">C175-C173*(C167-C71)+(C174+$L$8)*(C166-C70)</f>
        <v>-1.6810052338891648</v>
      </c>
      <c r="D244" s="20">
        <f t="shared" si="154"/>
        <v>-1.3110180724728588</v>
      </c>
      <c r="E244" s="20">
        <f t="shared" si="154"/>
        <v>-0.8355187061615236</v>
      </c>
      <c r="F244" s="20">
        <f t="shared" si="154"/>
        <v>-0.3701911343769151</v>
      </c>
      <c r="G244" s="20">
        <f t="shared" si="154"/>
        <v>0.03709727400188978</v>
      </c>
      <c r="H244" s="20">
        <f t="shared" si="154"/>
        <v>0.29588357135544086</v>
      </c>
      <c r="I244" s="20">
        <f t="shared" si="154"/>
        <v>0.2556424740978789</v>
      </c>
      <c r="J244" s="20">
        <f t="shared" si="154"/>
        <v>-0.10920633237402044</v>
      </c>
      <c r="K244" s="20">
        <f t="shared" si="154"/>
        <v>-0.5780243409132423</v>
      </c>
      <c r="L244" s="20">
        <f t="shared" si="154"/>
        <v>-0.9678598979782567</v>
      </c>
      <c r="M244" s="20">
        <f t="shared" si="154"/>
        <v>-1.271244080312881</v>
      </c>
      <c r="N244" s="20">
        <f t="shared" si="154"/>
        <v>-1.5192123510433313</v>
      </c>
      <c r="O244" s="20">
        <f t="shared" si="154"/>
        <v>-1.7241429520829699</v>
      </c>
      <c r="P244" s="20">
        <f t="shared" si="154"/>
        <v>-1.890293461874823</v>
      </c>
      <c r="Q244" s="20">
        <f t="shared" si="154"/>
        <v>-2.0222241295978423</v>
      </c>
      <c r="R244" s="20">
        <f t="shared" si="154"/>
        <v>-2.126596742725369</v>
      </c>
      <c r="S244" s="20">
        <f t="shared" si="154"/>
        <v>-2.211636793442997</v>
      </c>
      <c r="T244" s="20">
        <f t="shared" si="154"/>
        <v>-2.2862546474359493</v>
      </c>
      <c r="U244" s="20">
        <f t="shared" si="154"/>
        <v>-2.3593842044627955</v>
      </c>
      <c r="V244" s="20">
        <f t="shared" si="154"/>
        <v>-2.436704809211128</v>
      </c>
      <c r="W244" s="20">
        <f t="shared" si="154"/>
        <v>-2.5087897689476497</v>
      </c>
      <c r="X244" s="20">
        <f t="shared" si="154"/>
        <v>-2.534125196878073</v>
      </c>
      <c r="Y244" s="20">
        <f t="shared" si="154"/>
        <v>-2.443061668406108</v>
      </c>
      <c r="Z244" s="20">
        <f t="shared" si="154"/>
        <v>-2.1825607737371024</v>
      </c>
    </row>
    <row r="245" spans="1:26" ht="12.75">
      <c r="A245" s="20" t="s">
        <v>214</v>
      </c>
      <c r="B245" s="20">
        <f>B242*B73+B243*B74+B244*B47</f>
        <v>16.844657797861306</v>
      </c>
      <c r="C245" s="20">
        <f aca="true" t="shared" si="155" ref="C245:Z245">C242*C73+C243*C74+C244*C47</f>
        <v>10.40226415136299</v>
      </c>
      <c r="D245" s="20">
        <f t="shared" si="155"/>
        <v>2.5430072895769205</v>
      </c>
      <c r="E245" s="20">
        <f t="shared" si="155"/>
        <v>-5.300162708928593</v>
      </c>
      <c r="F245" s="20">
        <f t="shared" si="155"/>
        <v>-12.65208812258472</v>
      </c>
      <c r="G245" s="20">
        <f t="shared" si="155"/>
        <v>-19.86883467430157</v>
      </c>
      <c r="H245" s="20">
        <f t="shared" si="155"/>
        <v>-25.44901932032467</v>
      </c>
      <c r="I245" s="20">
        <f t="shared" si="155"/>
        <v>-25.987736032231247</v>
      </c>
      <c r="J245" s="20">
        <f t="shared" si="155"/>
        <v>-20.39386409857129</v>
      </c>
      <c r="K245" s="20">
        <f t="shared" si="155"/>
        <v>-12.735686563256307</v>
      </c>
      <c r="L245" s="20">
        <f t="shared" si="155"/>
        <v>-7.060752865413736</v>
      </c>
      <c r="M245" s="20">
        <f t="shared" si="155"/>
        <v>-3.9592501682605112</v>
      </c>
      <c r="N245" s="20">
        <f t="shared" si="155"/>
        <v>-2.5809448052848056</v>
      </c>
      <c r="O245" s="20">
        <f t="shared" si="155"/>
        <v>-2.1727049929099946</v>
      </c>
      <c r="P245" s="20">
        <f t="shared" si="155"/>
        <v>-2.221989653498051</v>
      </c>
      <c r="Q245" s="20">
        <f t="shared" si="155"/>
        <v>-2.299717721976389</v>
      </c>
      <c r="R245" s="20">
        <f t="shared" si="155"/>
        <v>-1.9425403277223996</v>
      </c>
      <c r="S245" s="20">
        <f t="shared" si="155"/>
        <v>-0.6159659851019195</v>
      </c>
      <c r="T245" s="20">
        <f t="shared" si="155"/>
        <v>2.2080316952509937</v>
      </c>
      <c r="U245" s="20">
        <f t="shared" si="155"/>
        <v>6.844987575207475</v>
      </c>
      <c r="V245" s="20">
        <f t="shared" si="155"/>
        <v>13.114192213732473</v>
      </c>
      <c r="W245" s="20">
        <f t="shared" si="155"/>
        <v>19.974442793003277</v>
      </c>
      <c r="X245" s="20">
        <f t="shared" si="155"/>
        <v>25.147340439616354</v>
      </c>
      <c r="Y245" s="20">
        <f t="shared" si="155"/>
        <v>25.708633421520297</v>
      </c>
      <c r="Z245" s="20">
        <f t="shared" si="155"/>
        <v>20.486359930489307</v>
      </c>
    </row>
    <row r="246" spans="1:26" s="46" customFormat="1" ht="12.75">
      <c r="A246" s="57" t="s">
        <v>194</v>
      </c>
      <c r="B246" s="57">
        <f>B245-(B179+B200)</f>
        <v>0</v>
      </c>
      <c r="C246" s="57">
        <f aca="true" t="shared" si="156" ref="C246:Z246">C245-(C179+C200)</f>
        <v>0</v>
      </c>
      <c r="D246" s="57">
        <f t="shared" si="156"/>
        <v>0</v>
      </c>
      <c r="E246" s="57">
        <f t="shared" si="156"/>
        <v>0</v>
      </c>
      <c r="F246" s="57">
        <f t="shared" si="156"/>
        <v>0</v>
      </c>
      <c r="G246" s="57">
        <f t="shared" si="156"/>
        <v>0</v>
      </c>
      <c r="H246" s="57">
        <f t="shared" si="156"/>
        <v>0</v>
      </c>
      <c r="I246" s="57">
        <f t="shared" si="156"/>
        <v>0</v>
      </c>
      <c r="J246" s="57">
        <f t="shared" si="156"/>
        <v>0</v>
      </c>
      <c r="K246" s="57">
        <f t="shared" si="156"/>
        <v>0</v>
      </c>
      <c r="L246" s="57">
        <f t="shared" si="156"/>
        <v>0</v>
      </c>
      <c r="M246" s="57">
        <f t="shared" si="156"/>
        <v>0</v>
      </c>
      <c r="N246" s="57">
        <f t="shared" si="156"/>
        <v>0</v>
      </c>
      <c r="O246" s="57">
        <f t="shared" si="156"/>
        <v>0</v>
      </c>
      <c r="P246" s="57">
        <f t="shared" si="156"/>
        <v>0</v>
      </c>
      <c r="Q246" s="57">
        <f t="shared" si="156"/>
        <v>0</v>
      </c>
      <c r="R246" s="57">
        <f t="shared" si="156"/>
        <v>0</v>
      </c>
      <c r="S246" s="57">
        <f t="shared" si="156"/>
        <v>0</v>
      </c>
      <c r="T246" s="57">
        <f t="shared" si="156"/>
        <v>0</v>
      </c>
      <c r="U246" s="57">
        <f t="shared" si="156"/>
        <v>0</v>
      </c>
      <c r="V246" s="57">
        <f t="shared" si="156"/>
        <v>0</v>
      </c>
      <c r="W246" s="57">
        <f t="shared" si="156"/>
        <v>0</v>
      </c>
      <c r="X246" s="57">
        <f t="shared" si="156"/>
        <v>0</v>
      </c>
      <c r="Y246" s="57">
        <f t="shared" si="156"/>
        <v>0</v>
      </c>
      <c r="Z246" s="57">
        <f t="shared" si="156"/>
        <v>0</v>
      </c>
    </row>
    <row r="247" spans="1:26" ht="13.5" thickBo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3.5" thickBot="1">
      <c r="A248" s="62" t="s">
        <v>207</v>
      </c>
      <c r="B248" s="63"/>
      <c r="C248" s="6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>
      <c r="A249" s="20" t="s">
        <v>206</v>
      </c>
      <c r="B249" s="56">
        <f>B33-B47*(B71-B32)</f>
        <v>-0.0681068922264341</v>
      </c>
      <c r="C249" s="56">
        <f aca="true" t="shared" si="157" ref="C249:Z249">C33-C47*(C71-C32)</f>
        <v>-0.3791851010806646</v>
      </c>
      <c r="D249" s="56">
        <f t="shared" si="157"/>
        <v>-0.7241124718561909</v>
      </c>
      <c r="E249" s="56">
        <f t="shared" si="157"/>
        <v>-1.0551385214059883</v>
      </c>
      <c r="F249" s="56">
        <f t="shared" si="157"/>
        <v>-1.3101609709800177</v>
      </c>
      <c r="G249" s="56">
        <f t="shared" si="157"/>
        <v>-1.4254431639370373</v>
      </c>
      <c r="H249" s="56">
        <f t="shared" si="157"/>
        <v>-1.3507471883610236</v>
      </c>
      <c r="I249" s="56">
        <f t="shared" si="157"/>
        <v>-1.0872777069203676</v>
      </c>
      <c r="J249" s="56">
        <f t="shared" si="157"/>
        <v>-0.719858597246783</v>
      </c>
      <c r="K249" s="56">
        <f t="shared" si="157"/>
        <v>-0.3679179843742344</v>
      </c>
      <c r="L249" s="56">
        <f t="shared" si="157"/>
        <v>-0.09465174441934165</v>
      </c>
      <c r="M249" s="56">
        <f t="shared" si="157"/>
        <v>0.10254454767779903</v>
      </c>
      <c r="N249" s="56">
        <f t="shared" si="157"/>
        <v>0.246903119485643</v>
      </c>
      <c r="O249" s="56">
        <f t="shared" si="157"/>
        <v>0.3567901137745647</v>
      </c>
      <c r="P249" s="56">
        <f t="shared" si="157"/>
        <v>0.4423775971859676</v>
      </c>
      <c r="Q249" s="56">
        <f t="shared" si="157"/>
        <v>0.5081004369621317</v>
      </c>
      <c r="R249" s="56">
        <f t="shared" si="157"/>
        <v>0.5552201803571388</v>
      </c>
      <c r="S249" s="56">
        <f t="shared" si="157"/>
        <v>0.5838941000357154</v>
      </c>
      <c r="T249" s="56">
        <f t="shared" si="157"/>
        <v>0.5946298833031777</v>
      </c>
      <c r="U249" s="56">
        <f t="shared" si="157"/>
        <v>0.5881213631519997</v>
      </c>
      <c r="V249" s="56">
        <f t="shared" si="157"/>
        <v>0.5618452396445008</v>
      </c>
      <c r="W249" s="56">
        <f t="shared" si="157"/>
        <v>0.5042058935691535</v>
      </c>
      <c r="X249" s="56">
        <f t="shared" si="157"/>
        <v>0.3929348283517918</v>
      </c>
      <c r="Y249" s="56">
        <f t="shared" si="157"/>
        <v>0.20476502815109182</v>
      </c>
      <c r="Z249" s="56">
        <f t="shared" si="157"/>
        <v>-0.06876043510507124</v>
      </c>
    </row>
    <row r="250" spans="1:26" ht="12.75">
      <c r="A250" s="20" t="s">
        <v>224</v>
      </c>
      <c r="B250" s="56">
        <f>B34+B47*(B70-B31)</f>
        <v>0.6525063868308353</v>
      </c>
      <c r="C250" s="56">
        <f aca="true" t="shared" si="158" ref="C250:Z250">C34+C47*(C70-C31)</f>
        <v>0.5117400193971193</v>
      </c>
      <c r="D250" s="56">
        <f t="shared" si="158"/>
        <v>0.33928234895668696</v>
      </c>
      <c r="E250" s="56">
        <f t="shared" si="158"/>
        <v>0.12313835115327543</v>
      </c>
      <c r="F250" s="56">
        <f t="shared" si="158"/>
        <v>-0.0967003266639539</v>
      </c>
      <c r="G250" s="56">
        <f t="shared" si="158"/>
        <v>-0.2747947357669002</v>
      </c>
      <c r="H250" s="56">
        <f t="shared" si="158"/>
        <v>-0.37443215263333174</v>
      </c>
      <c r="I250" s="56">
        <f t="shared" si="158"/>
        <v>-0.38483935080729836</v>
      </c>
      <c r="J250" s="56">
        <f t="shared" si="158"/>
        <v>-0.33434317147119663</v>
      </c>
      <c r="K250" s="56">
        <f t="shared" si="158"/>
        <v>-0.2706896608388413</v>
      </c>
      <c r="L250" s="56">
        <f t="shared" si="158"/>
        <v>-0.22331324911702344</v>
      </c>
      <c r="M250" s="56">
        <f t="shared" si="158"/>
        <v>-0.19551286974365023</v>
      </c>
      <c r="N250" s="56">
        <f t="shared" si="158"/>
        <v>-0.1792854493888122</v>
      </c>
      <c r="O250" s="56">
        <f t="shared" si="158"/>
        <v>-0.1656677613362787</v>
      </c>
      <c r="P250" s="56">
        <f t="shared" si="158"/>
        <v>-0.14731549780973996</v>
      </c>
      <c r="Q250" s="56">
        <f t="shared" si="158"/>
        <v>-0.11834959768582481</v>
      </c>
      <c r="R250" s="56">
        <f t="shared" si="158"/>
        <v>-0.07396923894033611</v>
      </c>
      <c r="S250" s="56">
        <f t="shared" si="158"/>
        <v>-0.010418191182051284</v>
      </c>
      <c r="T250" s="56">
        <f t="shared" si="158"/>
        <v>0.0747820786086045</v>
      </c>
      <c r="U250" s="56">
        <f t="shared" si="158"/>
        <v>0.18257154526772468</v>
      </c>
      <c r="V250" s="56">
        <f t="shared" si="158"/>
        <v>0.31127742892698246</v>
      </c>
      <c r="W250" s="56">
        <f t="shared" si="158"/>
        <v>0.45209290860038565</v>
      </c>
      <c r="X250" s="56">
        <f t="shared" si="158"/>
        <v>0.581685180093516</v>
      </c>
      <c r="Y250" s="56">
        <f t="shared" si="158"/>
        <v>0.6625114249851434</v>
      </c>
      <c r="Z250" s="56">
        <f t="shared" si="158"/>
        <v>0.6587677340812861</v>
      </c>
    </row>
    <row r="251" spans="1:26" ht="12.75">
      <c r="A251" s="20" t="s">
        <v>215</v>
      </c>
      <c r="B251" s="20">
        <f>B242*B73/B249</f>
        <v>44.960126853946186</v>
      </c>
      <c r="C251" s="20">
        <f aca="true" t="shared" si="159" ref="C251:Z251">C242*C73/C249</f>
        <v>4.868319997818323</v>
      </c>
      <c r="D251" s="20">
        <f t="shared" si="159"/>
        <v>0.6737059715767737</v>
      </c>
      <c r="E251" s="20">
        <f t="shared" si="159"/>
        <v>-1.5873489156950549</v>
      </c>
      <c r="F251" s="20">
        <f t="shared" si="159"/>
        <v>-2.7002820679207553</v>
      </c>
      <c r="G251" s="20">
        <f t="shared" si="159"/>
        <v>-2.3925545987458032</v>
      </c>
      <c r="H251" s="20">
        <f t="shared" si="159"/>
        <v>-0.8084757199940789</v>
      </c>
      <c r="I251" s="20">
        <f t="shared" si="159"/>
        <v>1.3021666211919296</v>
      </c>
      <c r="J251" s="20">
        <f t="shared" si="159"/>
        <v>2.783940249000825</v>
      </c>
      <c r="K251" s="20">
        <f t="shared" si="159"/>
        <v>3.251345283307301</v>
      </c>
      <c r="L251" s="20">
        <f t="shared" si="159"/>
        <v>4.857276057626017</v>
      </c>
      <c r="M251" s="20">
        <f t="shared" si="159"/>
        <v>-1.3735884287357</v>
      </c>
      <c r="N251" s="20">
        <f t="shared" si="159"/>
        <v>-0.16236998359709248</v>
      </c>
      <c r="O251" s="20">
        <f t="shared" si="159"/>
        <v>-0.02874978713069767</v>
      </c>
      <c r="P251" s="20">
        <f t="shared" si="159"/>
        <v>0.0010768361239070186</v>
      </c>
      <c r="Q251" s="20">
        <f t="shared" si="159"/>
        <v>0.0030488144012937057</v>
      </c>
      <c r="R251" s="20">
        <f t="shared" si="159"/>
        <v>-0.011842482549983463</v>
      </c>
      <c r="S251" s="20">
        <f t="shared" si="159"/>
        <v>-0.009212245070534279</v>
      </c>
      <c r="T251" s="20">
        <f t="shared" si="159"/>
        <v>0.10577125922565324</v>
      </c>
      <c r="U251" s="20">
        <f t="shared" si="159"/>
        <v>0.482720224957028</v>
      </c>
      <c r="V251" s="20">
        <f t="shared" si="159"/>
        <v>1.2576447143066356</v>
      </c>
      <c r="W251" s="20">
        <f t="shared" si="159"/>
        <v>2.4166144280200523</v>
      </c>
      <c r="X251" s="20">
        <f t="shared" si="159"/>
        <v>3.51379043658995</v>
      </c>
      <c r="Y251" s="20">
        <f t="shared" si="159"/>
        <v>2.922561143530193</v>
      </c>
      <c r="Z251" s="20">
        <f t="shared" si="159"/>
        <v>13.764859883832326</v>
      </c>
    </row>
    <row r="252" spans="1:26" ht="12.75">
      <c r="A252" s="20" t="s">
        <v>216</v>
      </c>
      <c r="B252" s="20">
        <f>B243*B74/B250</f>
        <v>29.699662371210792</v>
      </c>
      <c r="C252" s="20">
        <f aca="true" t="shared" si="160" ref="C252:Z252">C243*C74/C250</f>
        <v>22.859356658645677</v>
      </c>
      <c r="D252" s="20">
        <f t="shared" si="160"/>
        <v>7.5302129075929765</v>
      </c>
      <c r="E252" s="20">
        <f t="shared" si="160"/>
        <v>-59.19047219579717</v>
      </c>
      <c r="F252" s="20">
        <f t="shared" si="160"/>
        <v>168.78035158171338</v>
      </c>
      <c r="G252" s="20">
        <f t="shared" si="160"/>
        <v>84.67564179848023</v>
      </c>
      <c r="H252" s="20">
        <f t="shared" si="160"/>
        <v>70.73578308141283</v>
      </c>
      <c r="I252" s="20">
        <f t="shared" si="160"/>
        <v>63.81779834250503</v>
      </c>
      <c r="J252" s="20">
        <f t="shared" si="160"/>
        <v>54.97338981682706</v>
      </c>
      <c r="K252" s="20">
        <f t="shared" si="160"/>
        <v>42.21750630502095</v>
      </c>
      <c r="L252" s="20">
        <f t="shared" si="160"/>
        <v>28.4737294913985</v>
      </c>
      <c r="M252" s="20">
        <f t="shared" si="160"/>
        <v>17.764326105806823</v>
      </c>
      <c r="N252" s="20">
        <f t="shared" si="160"/>
        <v>11.900797169548495</v>
      </c>
      <c r="O252" s="20">
        <f t="shared" si="160"/>
        <v>10.468616943750009</v>
      </c>
      <c r="P252" s="20">
        <f t="shared" si="160"/>
        <v>12.287007788030412</v>
      </c>
      <c r="Q252" s="20">
        <f t="shared" si="160"/>
        <v>16.339695961028614</v>
      </c>
      <c r="R252" s="20">
        <f t="shared" si="160"/>
        <v>22.091869980674065</v>
      </c>
      <c r="S252" s="20">
        <f t="shared" si="160"/>
        <v>37.21862396072961</v>
      </c>
      <c r="T252" s="20">
        <f t="shared" si="160"/>
        <v>30.48443437272716</v>
      </c>
      <c r="U252" s="20">
        <f t="shared" si="160"/>
        <v>36.13488978362222</v>
      </c>
      <c r="V252" s="20">
        <f t="shared" si="160"/>
        <v>39.605049679005205</v>
      </c>
      <c r="W252" s="20">
        <f t="shared" si="160"/>
        <v>40.99622638189922</v>
      </c>
      <c r="X252" s="20">
        <f t="shared" si="160"/>
        <v>40.187813728719725</v>
      </c>
      <c r="Y252" s="20">
        <f t="shared" si="160"/>
        <v>37.06862742765368</v>
      </c>
      <c r="Z252" s="20">
        <f t="shared" si="160"/>
        <v>31.552679862895094</v>
      </c>
    </row>
    <row r="253" spans="1:26" ht="12.75">
      <c r="A253" s="20" t="s">
        <v>217</v>
      </c>
      <c r="B253" s="20">
        <f>B244</f>
        <v>-1.7967703579682563</v>
      </c>
      <c r="C253" s="20">
        <f aca="true" t="shared" si="161" ref="C253:Z253">C244</f>
        <v>-1.6810052338891648</v>
      </c>
      <c r="D253" s="20">
        <f t="shared" si="161"/>
        <v>-1.3110180724728588</v>
      </c>
      <c r="E253" s="20">
        <f t="shared" si="161"/>
        <v>-0.8355187061615236</v>
      </c>
      <c r="F253" s="20">
        <f t="shared" si="161"/>
        <v>-0.3701911343769151</v>
      </c>
      <c r="G253" s="20">
        <f t="shared" si="161"/>
        <v>0.03709727400188978</v>
      </c>
      <c r="H253" s="20">
        <f t="shared" si="161"/>
        <v>0.29588357135544086</v>
      </c>
      <c r="I253" s="20">
        <f t="shared" si="161"/>
        <v>0.2556424740978789</v>
      </c>
      <c r="J253" s="20">
        <f t="shared" si="161"/>
        <v>-0.10920633237402044</v>
      </c>
      <c r="K253" s="20">
        <f t="shared" si="161"/>
        <v>-0.5780243409132423</v>
      </c>
      <c r="L253" s="20">
        <f t="shared" si="161"/>
        <v>-0.9678598979782567</v>
      </c>
      <c r="M253" s="20">
        <f t="shared" si="161"/>
        <v>-1.271244080312881</v>
      </c>
      <c r="N253" s="20">
        <f t="shared" si="161"/>
        <v>-1.5192123510433313</v>
      </c>
      <c r="O253" s="20">
        <f t="shared" si="161"/>
        <v>-1.7241429520829699</v>
      </c>
      <c r="P253" s="20">
        <f t="shared" si="161"/>
        <v>-1.890293461874823</v>
      </c>
      <c r="Q253" s="20">
        <f t="shared" si="161"/>
        <v>-2.0222241295978423</v>
      </c>
      <c r="R253" s="20">
        <f t="shared" si="161"/>
        <v>-2.126596742725369</v>
      </c>
      <c r="S253" s="20">
        <f t="shared" si="161"/>
        <v>-2.211636793442997</v>
      </c>
      <c r="T253" s="20">
        <f t="shared" si="161"/>
        <v>-2.2862546474359493</v>
      </c>
      <c r="U253" s="20">
        <f t="shared" si="161"/>
        <v>-2.3593842044627955</v>
      </c>
      <c r="V253" s="20">
        <f t="shared" si="161"/>
        <v>-2.436704809211128</v>
      </c>
      <c r="W253" s="20">
        <f t="shared" si="161"/>
        <v>-2.5087897689476497</v>
      </c>
      <c r="X253" s="20">
        <f t="shared" si="161"/>
        <v>-2.534125196878073</v>
      </c>
      <c r="Y253" s="20">
        <f t="shared" si="161"/>
        <v>-2.443061668406108</v>
      </c>
      <c r="Z253" s="20">
        <f t="shared" si="161"/>
        <v>-2.1825607737371024</v>
      </c>
    </row>
    <row r="254" spans="1:26" ht="12.75">
      <c r="A254" s="20" t="s">
        <v>218</v>
      </c>
      <c r="B254" s="20">
        <f>B251*B249+B252*B250+B253*B47</f>
        <v>16.844657797861306</v>
      </c>
      <c r="C254" s="20">
        <f aca="true" t="shared" si="162" ref="C254:Z254">C251*C249+C252*C250+C253*C47</f>
        <v>10.40226415136299</v>
      </c>
      <c r="D254" s="20">
        <f t="shared" si="162"/>
        <v>2.5430072895769205</v>
      </c>
      <c r="E254" s="20">
        <f t="shared" si="162"/>
        <v>-5.300162708928593</v>
      </c>
      <c r="F254" s="20">
        <f t="shared" si="162"/>
        <v>-12.65208812258472</v>
      </c>
      <c r="G254" s="20">
        <f t="shared" si="162"/>
        <v>-19.868834674301574</v>
      </c>
      <c r="H254" s="20">
        <f t="shared" si="162"/>
        <v>-25.44901932032467</v>
      </c>
      <c r="I254" s="20">
        <f t="shared" si="162"/>
        <v>-25.987736032231247</v>
      </c>
      <c r="J254" s="20">
        <f t="shared" si="162"/>
        <v>-20.39386409857129</v>
      </c>
      <c r="K254" s="20">
        <f t="shared" si="162"/>
        <v>-12.735686563256307</v>
      </c>
      <c r="L254" s="20">
        <f t="shared" si="162"/>
        <v>-7.060752865413736</v>
      </c>
      <c r="M254" s="20">
        <f t="shared" si="162"/>
        <v>-3.9592501682605112</v>
      </c>
      <c r="N254" s="20">
        <f t="shared" si="162"/>
        <v>-2.5809448052848056</v>
      </c>
      <c r="O254" s="20">
        <f t="shared" si="162"/>
        <v>-2.1727049929099946</v>
      </c>
      <c r="P254" s="20">
        <f t="shared" si="162"/>
        <v>-2.221989653498051</v>
      </c>
      <c r="Q254" s="20">
        <f t="shared" si="162"/>
        <v>-2.299717721976389</v>
      </c>
      <c r="R254" s="20">
        <f t="shared" si="162"/>
        <v>-1.9425403277223996</v>
      </c>
      <c r="S254" s="20">
        <f t="shared" si="162"/>
        <v>-0.6159659851019195</v>
      </c>
      <c r="T254" s="20">
        <f t="shared" si="162"/>
        <v>2.2080316952509937</v>
      </c>
      <c r="U254" s="20">
        <f t="shared" si="162"/>
        <v>6.844987575207475</v>
      </c>
      <c r="V254" s="20">
        <f t="shared" si="162"/>
        <v>13.114192213732473</v>
      </c>
      <c r="W254" s="20">
        <f t="shared" si="162"/>
        <v>19.974442793003277</v>
      </c>
      <c r="X254" s="20">
        <f t="shared" si="162"/>
        <v>25.147340439616354</v>
      </c>
      <c r="Y254" s="20">
        <f t="shared" si="162"/>
        <v>25.708633421520297</v>
      </c>
      <c r="Z254" s="20">
        <f t="shared" si="162"/>
        <v>20.486359930489307</v>
      </c>
    </row>
    <row r="255" spans="1:26" s="46" customFormat="1" ht="12.75">
      <c r="A255" s="57" t="s">
        <v>194</v>
      </c>
      <c r="B255" s="57">
        <f>B254-(B179+B200)</f>
        <v>0</v>
      </c>
      <c r="C255" s="57">
        <f aca="true" t="shared" si="163" ref="C255:Z255">C254-(C179+C200)</f>
        <v>0</v>
      </c>
      <c r="D255" s="57">
        <f t="shared" si="163"/>
        <v>0</v>
      </c>
      <c r="E255" s="57">
        <f t="shared" si="163"/>
        <v>0</v>
      </c>
      <c r="F255" s="57">
        <f t="shared" si="163"/>
        <v>0</v>
      </c>
      <c r="G255" s="57">
        <f t="shared" si="163"/>
        <v>0</v>
      </c>
      <c r="H255" s="57">
        <f t="shared" si="163"/>
        <v>0</v>
      </c>
      <c r="I255" s="57">
        <f t="shared" si="163"/>
        <v>0</v>
      </c>
      <c r="J255" s="57">
        <f t="shared" si="163"/>
        <v>0</v>
      </c>
      <c r="K255" s="57">
        <f t="shared" si="163"/>
        <v>0</v>
      </c>
      <c r="L255" s="57">
        <f t="shared" si="163"/>
        <v>0</v>
      </c>
      <c r="M255" s="57">
        <f t="shared" si="163"/>
        <v>0</v>
      </c>
      <c r="N255" s="57">
        <f t="shared" si="163"/>
        <v>0</v>
      </c>
      <c r="O255" s="57">
        <f t="shared" si="163"/>
        <v>0</v>
      </c>
      <c r="P255" s="57">
        <f t="shared" si="163"/>
        <v>0</v>
      </c>
      <c r="Q255" s="57">
        <f t="shared" si="163"/>
        <v>0</v>
      </c>
      <c r="R255" s="57">
        <f t="shared" si="163"/>
        <v>0</v>
      </c>
      <c r="S255" s="57">
        <f t="shared" si="163"/>
        <v>0</v>
      </c>
      <c r="T255" s="57">
        <f t="shared" si="163"/>
        <v>0</v>
      </c>
      <c r="U255" s="57">
        <f t="shared" si="163"/>
        <v>0</v>
      </c>
      <c r="V255" s="57">
        <f t="shared" si="163"/>
        <v>0</v>
      </c>
      <c r="W255" s="57">
        <f t="shared" si="163"/>
        <v>0</v>
      </c>
      <c r="X255" s="57">
        <f t="shared" si="163"/>
        <v>0</v>
      </c>
      <c r="Y255" s="57">
        <f t="shared" si="163"/>
        <v>0</v>
      </c>
      <c r="Z255" s="57">
        <f t="shared" si="163"/>
        <v>0</v>
      </c>
    </row>
    <row r="256" spans="1:26" ht="13.5" thickBo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3.5" thickBot="1">
      <c r="A257" s="62" t="s">
        <v>219</v>
      </c>
      <c r="B257" s="63"/>
      <c r="C257" s="6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>
      <c r="A258" s="20" t="s">
        <v>220</v>
      </c>
      <c r="B258" s="20">
        <f>B251+B228+B131</f>
        <v>40.40972427381278</v>
      </c>
      <c r="C258" s="20">
        <f aca="true" t="shared" si="164" ref="C258:Z258">C251+C228+C131</f>
        <v>-0.20003331621081655</v>
      </c>
      <c r="D258" s="20">
        <f t="shared" si="164"/>
        <v>-4.602864146955772</v>
      </c>
      <c r="E258" s="20">
        <f t="shared" si="164"/>
        <v>-5.926225189717416</v>
      </c>
      <c r="F258" s="20">
        <f t="shared" si="164"/>
        <v>-4.872385830124825</v>
      </c>
      <c r="G258" s="20">
        <f t="shared" si="164"/>
        <v>-1.41863367194137</v>
      </c>
      <c r="H258" s="20">
        <f t="shared" si="164"/>
        <v>3.54725437783462</v>
      </c>
      <c r="I258" s="20">
        <f t="shared" si="164"/>
        <v>7.928247075970174</v>
      </c>
      <c r="J258" s="20">
        <f t="shared" si="164"/>
        <v>9.614115177790605</v>
      </c>
      <c r="K258" s="20">
        <f t="shared" si="164"/>
        <v>8.87752123315078</v>
      </c>
      <c r="L258" s="20">
        <f t="shared" si="164"/>
        <v>9.131748260888596</v>
      </c>
      <c r="M258" s="20">
        <f t="shared" si="164"/>
        <v>1.9094122403561458</v>
      </c>
      <c r="N258" s="20">
        <f t="shared" si="164"/>
        <v>2.4546226118929524</v>
      </c>
      <c r="O258" s="20">
        <f t="shared" si="164"/>
        <v>2.137066459319101</v>
      </c>
      <c r="P258" s="20">
        <f t="shared" si="164"/>
        <v>1.8657272946580896</v>
      </c>
      <c r="Q258" s="20">
        <f t="shared" si="164"/>
        <v>1.6839519492507067</v>
      </c>
      <c r="R258" s="20">
        <f t="shared" si="164"/>
        <v>1.5783084254659683</v>
      </c>
      <c r="S258" s="20">
        <f t="shared" si="164"/>
        <v>1.5521555340345725</v>
      </c>
      <c r="T258" s="20">
        <f t="shared" si="164"/>
        <v>1.650491667329866</v>
      </c>
      <c r="U258" s="20">
        <f t="shared" si="164"/>
        <v>1.9329089640782073</v>
      </c>
      <c r="V258" s="20">
        <f t="shared" si="164"/>
        <v>2.377410432933237</v>
      </c>
      <c r="W258" s="20">
        <f t="shared" si="164"/>
        <v>2.7558423345572725</v>
      </c>
      <c r="X258" s="20">
        <f t="shared" si="164"/>
        <v>2.4714150886408994</v>
      </c>
      <c r="Y258" s="20">
        <f t="shared" si="164"/>
        <v>0.007880382150611709</v>
      </c>
      <c r="Z258" s="20">
        <f t="shared" si="164"/>
        <v>8.948006311154609</v>
      </c>
    </row>
    <row r="259" spans="1:26" ht="12.75">
      <c r="A259" s="20" t="s">
        <v>221</v>
      </c>
      <c r="B259" s="20">
        <f>B252+B229+B132+$L$6</f>
        <v>74.51220229301526</v>
      </c>
      <c r="C259" s="20">
        <f aca="true" t="shared" si="165" ref="C259:Z259">C252+C229+C132+$L$6</f>
        <v>67.19267284901751</v>
      </c>
      <c r="D259" s="20">
        <f t="shared" si="165"/>
        <v>50.93558782935513</v>
      </c>
      <c r="E259" s="20">
        <f t="shared" si="165"/>
        <v>-16.363270230531448</v>
      </c>
      <c r="F259" s="20">
        <f t="shared" si="165"/>
        <v>211.5766185306643</v>
      </c>
      <c r="G259" s="20">
        <f t="shared" si="165"/>
        <v>128.02466463166675</v>
      </c>
      <c r="H259" s="20">
        <f t="shared" si="165"/>
        <v>115.05234680361346</v>
      </c>
      <c r="I259" s="20">
        <f t="shared" si="165"/>
        <v>109.08757449055867</v>
      </c>
      <c r="J259" s="20">
        <f t="shared" si="165"/>
        <v>100.76669370193417</v>
      </c>
      <c r="K259" s="20">
        <f t="shared" si="165"/>
        <v>88.13770310533704</v>
      </c>
      <c r="L259" s="20">
        <f t="shared" si="165"/>
        <v>74.42932098460591</v>
      </c>
      <c r="M259" s="20">
        <f t="shared" si="165"/>
        <v>63.837353503982364</v>
      </c>
      <c r="N259" s="20">
        <f t="shared" si="165"/>
        <v>58.1819448905452</v>
      </c>
      <c r="O259" s="20">
        <f t="shared" si="165"/>
        <v>57.0031422478151</v>
      </c>
      <c r="P259" s="20">
        <f t="shared" si="165"/>
        <v>59.078822216148424</v>
      </c>
      <c r="Q259" s="20">
        <f t="shared" si="165"/>
        <v>63.36806081869625</v>
      </c>
      <c r="R259" s="20">
        <f t="shared" si="165"/>
        <v>69.3254929335385</v>
      </c>
      <c r="S259" s="20">
        <f t="shared" si="165"/>
        <v>84.62454215808961</v>
      </c>
      <c r="T259" s="20">
        <f t="shared" si="165"/>
        <v>78.03205746443389</v>
      </c>
      <c r="U259" s="20">
        <f t="shared" si="165"/>
        <v>83.79099469652635</v>
      </c>
      <c r="V259" s="20">
        <f t="shared" si="165"/>
        <v>87.30655218435933</v>
      </c>
      <c r="W259" s="20">
        <f t="shared" si="165"/>
        <v>88.59357176805958</v>
      </c>
      <c r="X259" s="20">
        <f t="shared" si="165"/>
        <v>87.3937205585847</v>
      </c>
      <c r="Y259" s="20">
        <f t="shared" si="165"/>
        <v>83.4890739085026</v>
      </c>
      <c r="Z259" s="20">
        <f t="shared" si="165"/>
        <v>76.83629760476525</v>
      </c>
    </row>
    <row r="260" spans="1:26" ht="12.75">
      <c r="A260" s="20" t="s">
        <v>222</v>
      </c>
      <c r="B260" s="20">
        <f>B133+B253-B131*(B125-B32)-B251*(B71-B32)-B228*(B55-B32)+(B132+$L$6)*(B124-B31)+B252*(B70-B31)+B229*(B54-B31)+B230</f>
        <v>135.64855053691042</v>
      </c>
      <c r="C260" s="20">
        <f aca="true" t="shared" si="166" ref="C260:Z260">C133+C253-C131*(C125-C32)-C251*(C71-C32)-C228*(C55-C32)+(C132+$L$6)*(C124-C31)+C252*(C70-C31)+C229*(C54-C31)+C230</f>
        <v>121.99861298408223</v>
      </c>
      <c r="D260" s="20">
        <f t="shared" si="166"/>
        <v>96.46462935360242</v>
      </c>
      <c r="E260" s="20">
        <f t="shared" si="166"/>
        <v>-20.052055492597212</v>
      </c>
      <c r="F260" s="20">
        <f t="shared" si="166"/>
        <v>378.90081733086265</v>
      </c>
      <c r="G260" s="20">
        <f t="shared" si="166"/>
        <v>235.195036496222</v>
      </c>
      <c r="H260" s="20">
        <f t="shared" si="166"/>
        <v>217.46530694424453</v>
      </c>
      <c r="I260" s="20">
        <f t="shared" si="166"/>
        <v>212.56041036922147</v>
      </c>
      <c r="J260" s="20">
        <f t="shared" si="166"/>
        <v>200.3503626074052</v>
      </c>
      <c r="K260" s="20">
        <f t="shared" si="166"/>
        <v>176.52199769675843</v>
      </c>
      <c r="L260" s="20">
        <f t="shared" si="166"/>
        <v>151.02126625891714</v>
      </c>
      <c r="M260" s="20">
        <f t="shared" si="166"/>
        <v>122.09170437045563</v>
      </c>
      <c r="N260" s="20">
        <f t="shared" si="166"/>
        <v>112.8870043991893</v>
      </c>
      <c r="O260" s="20">
        <f t="shared" si="166"/>
        <v>111.90747869850296</v>
      </c>
      <c r="P260" s="20">
        <f t="shared" si="166"/>
        <v>116.82188234183863</v>
      </c>
      <c r="Q260" s="20">
        <f t="shared" si="166"/>
        <v>124.08210348084026</v>
      </c>
      <c r="R260" s="20">
        <f t="shared" si="166"/>
        <v>131.0764714689496</v>
      </c>
      <c r="S260" s="20">
        <f t="shared" si="166"/>
        <v>146.8516769636423</v>
      </c>
      <c r="T260" s="20">
        <f t="shared" si="166"/>
        <v>131.1684904693297</v>
      </c>
      <c r="U260" s="20">
        <f t="shared" si="166"/>
        <v>130.93925103717692</v>
      </c>
      <c r="V260" s="20">
        <f t="shared" si="166"/>
        <v>130.1225284021512</v>
      </c>
      <c r="W260" s="20">
        <f t="shared" si="166"/>
        <v>130.85569400786903</v>
      </c>
      <c r="X260" s="20">
        <f t="shared" si="166"/>
        <v>132.82988582411565</v>
      </c>
      <c r="Y260" s="20">
        <f t="shared" si="166"/>
        <v>133.70539688319417</v>
      </c>
      <c r="Z260" s="20">
        <f t="shared" si="166"/>
        <v>132.46339724982042</v>
      </c>
    </row>
    <row r="261" spans="1:26" ht="12.75">
      <c r="A261" s="20" t="s">
        <v>223</v>
      </c>
      <c r="B261" s="20">
        <f>B258*B33+B259*B34+B260*B47</f>
        <v>33.96910546172345</v>
      </c>
      <c r="C261" s="20">
        <f aca="true" t="shared" si="167" ref="C261:Z261">C258*C33+C259*C34+C260*C47</f>
        <v>24.71343209762422</v>
      </c>
      <c r="D261" s="20">
        <f t="shared" si="167"/>
        <v>13.350884576883566</v>
      </c>
      <c r="E261" s="20">
        <f t="shared" si="167"/>
        <v>-0.20880262583218823</v>
      </c>
      <c r="F261" s="20">
        <f t="shared" si="167"/>
        <v>-15.903326346755009</v>
      </c>
      <c r="G261" s="20">
        <f t="shared" si="167"/>
        <v>-32.97885051511854</v>
      </c>
      <c r="H261" s="20">
        <f t="shared" si="167"/>
        <v>-46.72438976504651</v>
      </c>
      <c r="I261" s="20">
        <f t="shared" si="167"/>
        <v>-50.03609272840771</v>
      </c>
      <c r="J261" s="20">
        <f t="shared" si="167"/>
        <v>-42.129991574181375</v>
      </c>
      <c r="K261" s="20">
        <f t="shared" si="167"/>
        <v>-31.069469864517764</v>
      </c>
      <c r="L261" s="20">
        <f t="shared" si="167"/>
        <v>-22.97104701531196</v>
      </c>
      <c r="M261" s="20">
        <f t="shared" si="167"/>
        <v>-18.010514367020242</v>
      </c>
      <c r="N261" s="20">
        <f t="shared" si="167"/>
        <v>-14.599863023067854</v>
      </c>
      <c r="O261" s="20">
        <f t="shared" si="167"/>
        <v>-11.646170748269562</v>
      </c>
      <c r="P261" s="20">
        <f t="shared" si="167"/>
        <v>-8.631866552275579</v>
      </c>
      <c r="Q261" s="20">
        <f t="shared" si="167"/>
        <v>-5.299840999549637</v>
      </c>
      <c r="R261" s="20">
        <f t="shared" si="167"/>
        <v>-1.4101645945770969</v>
      </c>
      <c r="S261" s="20">
        <f t="shared" si="167"/>
        <v>3.385510343492827</v>
      </c>
      <c r="T261" s="20">
        <f t="shared" si="167"/>
        <v>9.51756188007779</v>
      </c>
      <c r="U261" s="20">
        <f t="shared" si="167"/>
        <v>17.289473013747433</v>
      </c>
      <c r="V261" s="20">
        <f t="shared" si="167"/>
        <v>26.50195769854163</v>
      </c>
      <c r="W261" s="20">
        <f t="shared" si="167"/>
        <v>35.91677268021193</v>
      </c>
      <c r="X261" s="20">
        <f t="shared" si="167"/>
        <v>42.828320080972716</v>
      </c>
      <c r="Y261" s="20">
        <f t="shared" si="167"/>
        <v>43.95834350742025</v>
      </c>
      <c r="Z261" s="20">
        <f t="shared" si="167"/>
        <v>38.13959549369285</v>
      </c>
    </row>
    <row r="262" spans="1:26" s="46" customFormat="1" ht="12.75">
      <c r="A262" s="57" t="s">
        <v>194</v>
      </c>
      <c r="B262" s="57">
        <f>B261-B200-B179-B158-B137-B218</f>
        <v>1.1657341758564144E-14</v>
      </c>
      <c r="C262" s="57">
        <f aca="true" t="shared" si="168" ref="C262:Z262">C261-C200-C179-C158-C137-C218</f>
        <v>-3.1086244689504383E-15</v>
      </c>
      <c r="D262" s="57">
        <f t="shared" si="168"/>
        <v>0</v>
      </c>
      <c r="E262" s="57">
        <f t="shared" si="168"/>
        <v>5.773159728050814E-15</v>
      </c>
      <c r="F262" s="57">
        <f t="shared" si="168"/>
        <v>1.865174681370263E-14</v>
      </c>
      <c r="G262" s="57">
        <f t="shared" si="168"/>
        <v>0</v>
      </c>
      <c r="H262" s="57">
        <f t="shared" si="168"/>
        <v>-6.661338147750939E-15</v>
      </c>
      <c r="I262" s="57">
        <f t="shared" si="168"/>
        <v>1.7763568394002505E-15</v>
      </c>
      <c r="J262" s="57">
        <f t="shared" si="168"/>
        <v>0</v>
      </c>
      <c r="K262" s="57">
        <f t="shared" si="168"/>
        <v>6.6058269965196814E-15</v>
      </c>
      <c r="L262" s="57">
        <f t="shared" si="168"/>
        <v>1.0394463068053028E-14</v>
      </c>
      <c r="M262" s="57">
        <f t="shared" si="168"/>
        <v>-2.1094237467877974E-15</v>
      </c>
      <c r="N262" s="57">
        <f t="shared" si="168"/>
        <v>0</v>
      </c>
      <c r="O262" s="57">
        <f t="shared" si="168"/>
        <v>1.3322676295501878E-15</v>
      </c>
      <c r="P262" s="57">
        <f t="shared" si="168"/>
        <v>2.220446049250313E-15</v>
      </c>
      <c r="Q262" s="57">
        <f t="shared" si="168"/>
        <v>2.886579864025407E-15</v>
      </c>
      <c r="R262" s="57">
        <f t="shared" si="168"/>
        <v>2.220446049250313E-15</v>
      </c>
      <c r="S262" s="57">
        <f t="shared" si="168"/>
        <v>0</v>
      </c>
      <c r="T262" s="57">
        <f t="shared" si="168"/>
        <v>0</v>
      </c>
      <c r="U262" s="57">
        <f t="shared" si="168"/>
        <v>0</v>
      </c>
      <c r="V262" s="57">
        <f t="shared" si="168"/>
        <v>0</v>
      </c>
      <c r="W262" s="57">
        <f t="shared" si="168"/>
        <v>0</v>
      </c>
      <c r="X262" s="57">
        <f t="shared" si="168"/>
        <v>4.107825191113079E-15</v>
      </c>
      <c r="Y262" s="57">
        <f t="shared" si="168"/>
        <v>-1.0547118733938987E-14</v>
      </c>
      <c r="Z262" s="57">
        <f t="shared" si="168"/>
        <v>-3.552713678800501E-15</v>
      </c>
    </row>
    <row r="263" spans="1:26" ht="13.5" thickBo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3.5" thickBot="1">
      <c r="A264" s="62" t="s">
        <v>225</v>
      </c>
      <c r="B264" s="63"/>
      <c r="C264" s="6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>
      <c r="A265" s="20" t="s">
        <v>226</v>
      </c>
      <c r="B265" s="20">
        <f>B258+B110</f>
        <v>39.90972427381278</v>
      </c>
      <c r="C265" s="20">
        <f aca="true" t="shared" si="169" ref="C265:Z265">C258+C110</f>
        <v>-0.6868281666206848</v>
      </c>
      <c r="D265" s="20">
        <f t="shared" si="169"/>
        <v>-4.9892072784410075</v>
      </c>
      <c r="E265" s="20">
        <f t="shared" si="169"/>
        <v>-6.138207308807001</v>
      </c>
      <c r="F265" s="20">
        <f t="shared" si="169"/>
        <v>-4.864130005822025</v>
      </c>
      <c r="G265" s="20">
        <f t="shared" si="169"/>
        <v>-1.1806235635853535</v>
      </c>
      <c r="H265" s="20">
        <f t="shared" si="169"/>
        <v>3.98399062784765</v>
      </c>
      <c r="I265" s="20">
        <f t="shared" si="169"/>
        <v>8.488563255604152</v>
      </c>
      <c r="J265" s="20">
        <f t="shared" si="169"/>
        <v>10.198068757332578</v>
      </c>
      <c r="K265" s="20">
        <f t="shared" si="169"/>
        <v>9.407275511693456</v>
      </c>
      <c r="L265" s="20">
        <f t="shared" si="169"/>
        <v>9.575716921943348</v>
      </c>
      <c r="M265" s="20">
        <f t="shared" si="169"/>
        <v>2.260469952722882</v>
      </c>
      <c r="N265" s="20">
        <f t="shared" si="169"/>
        <v>2.7108540569001764</v>
      </c>
      <c r="O265" s="20">
        <f t="shared" si="169"/>
        <v>2.3012599619166156</v>
      </c>
      <c r="P265" s="20">
        <f t="shared" si="169"/>
        <v>1.9478604084901145</v>
      </c>
      <c r="Q265" s="20">
        <f t="shared" si="169"/>
        <v>1.7000146996014391</v>
      </c>
      <c r="R265" s="20">
        <f t="shared" si="169"/>
        <v>1.5464303339898222</v>
      </c>
      <c r="S265" s="20">
        <f t="shared" si="169"/>
        <v>1.48783348759163</v>
      </c>
      <c r="T265" s="20">
        <f t="shared" si="169"/>
        <v>1.5615664012837218</v>
      </c>
      <c r="U265" s="20">
        <f t="shared" si="169"/>
        <v>1.8140031899414135</v>
      </c>
      <c r="V265" s="20">
        <f t="shared" si="169"/>
        <v>2.2052536754396206</v>
      </c>
      <c r="W265" s="20">
        <f t="shared" si="169"/>
        <v>2.4921206406565526</v>
      </c>
      <c r="X265" s="20">
        <f t="shared" si="169"/>
        <v>2.08146169520406</v>
      </c>
      <c r="Y265" s="20">
        <f t="shared" si="169"/>
        <v>-0.5089134765364712</v>
      </c>
      <c r="Z265" s="20">
        <f t="shared" si="169"/>
        <v>8.357494787245477</v>
      </c>
    </row>
    <row r="266" spans="1:26" ht="12.75">
      <c r="A266" s="20" t="s">
        <v>227</v>
      </c>
      <c r="B266" s="20">
        <f>B259+B111+$L$5</f>
        <v>84.02220229301527</v>
      </c>
      <c r="C266" s="20">
        <f aca="true" t="shared" si="170" ref="C266:Z266">C259+C111+$L$5</f>
        <v>76.66226729639571</v>
      </c>
      <c r="D266" s="20">
        <f t="shared" si="170"/>
        <v>60.22354204748206</v>
      </c>
      <c r="E266" s="20">
        <f t="shared" si="170"/>
        <v>-7.212775709266383</v>
      </c>
      <c r="F266" s="20">
        <f t="shared" si="170"/>
        <v>220.670415330901</v>
      </c>
      <c r="G266" s="20">
        <f t="shared" si="170"/>
        <v>137.15567661103748</v>
      </c>
      <c r="H266" s="20">
        <f t="shared" si="170"/>
        <v>124.31229627186791</v>
      </c>
      <c r="I266" s="20">
        <f t="shared" si="170"/>
        <v>118.54198091889378</v>
      </c>
      <c r="J266" s="20">
        <f t="shared" si="170"/>
        <v>110.42528930065488</v>
      </c>
      <c r="K266" s="20">
        <f t="shared" si="170"/>
        <v>97.95784372063473</v>
      </c>
      <c r="L266" s="20">
        <f t="shared" si="170"/>
        <v>84.36062779651797</v>
      </c>
      <c r="M266" s="20">
        <f t="shared" si="170"/>
        <v>73.84556639184838</v>
      </c>
      <c r="N266" s="20">
        <f t="shared" si="170"/>
        <v>68.23979839800306</v>
      </c>
      <c r="O266" s="20">
        <f t="shared" si="170"/>
        <v>67.08365751162663</v>
      </c>
      <c r="P266" s="20">
        <f t="shared" si="170"/>
        <v>69.15778351042319</v>
      </c>
      <c r="Q266" s="20">
        <f t="shared" si="170"/>
        <v>73.42839488833745</v>
      </c>
      <c r="R266" s="20">
        <f t="shared" si="170"/>
        <v>79.35986791955705</v>
      </c>
      <c r="S266" s="20">
        <f t="shared" si="170"/>
        <v>94.63566082932577</v>
      </c>
      <c r="T266" s="20">
        <f t="shared" si="170"/>
        <v>88.03098397850867</v>
      </c>
      <c r="U266" s="20">
        <f t="shared" si="170"/>
        <v>93.79276032030975</v>
      </c>
      <c r="V266" s="20">
        <f t="shared" si="170"/>
        <v>97.3203800681241</v>
      </c>
      <c r="W266" s="20">
        <f t="shared" si="170"/>
        <v>98.60695276771348</v>
      </c>
      <c r="X266" s="20">
        <f t="shared" si="170"/>
        <v>97.35900056522135</v>
      </c>
      <c r="Y266" s="20">
        <f t="shared" si="170"/>
        <v>93.32906847947231</v>
      </c>
      <c r="Z266" s="20">
        <f t="shared" si="170"/>
        <v>86.47529521517448</v>
      </c>
    </row>
    <row r="267" spans="1:26" ht="12.75">
      <c r="A267" s="20" t="s">
        <v>228</v>
      </c>
      <c r="B267" s="20">
        <f>B112-B110*B104-B258*B32+(B111+$L$5)*B103+B259*B31+B260*B47/B26</f>
        <v>38.87410546172345</v>
      </c>
      <c r="C267" s="20">
        <f aca="true" t="shared" si="171" ref="C267:Z267">C112-C110*C104-C258*C32+(C111+$L$5)*C103+C259*C31+C260*C47/C26</f>
        <v>28.95005033242893</v>
      </c>
      <c r="D267" s="20">
        <f t="shared" si="171"/>
        <v>15.674726982471398</v>
      </c>
      <c r="E267" s="20">
        <f t="shared" si="171"/>
        <v>1.3005877682750002</v>
      </c>
      <c r="F267" s="20">
        <f t="shared" si="171"/>
        <v>-14.436715345853244</v>
      </c>
      <c r="G267" s="20">
        <f t="shared" si="171"/>
        <v>-31.384097342851053</v>
      </c>
      <c r="H267" s="20">
        <f t="shared" si="171"/>
        <v>-45.90910949178949</v>
      </c>
      <c r="I267" s="20">
        <f t="shared" si="171"/>
        <v>-51.81127216481647</v>
      </c>
      <c r="J267" s="20">
        <f t="shared" si="171"/>
        <v>-47.44409812820102</v>
      </c>
      <c r="K267" s="20">
        <f t="shared" si="171"/>
        <v>-39.04066808658605</v>
      </c>
      <c r="L267" s="20">
        <f t="shared" si="171"/>
        <v>-32.247854431371245</v>
      </c>
      <c r="M267" s="20">
        <f t="shared" si="171"/>
        <v>-27.680776603976007</v>
      </c>
      <c r="N267" s="20">
        <f t="shared" si="171"/>
        <v>-24.00980176668574</v>
      </c>
      <c r="O267" s="20">
        <f t="shared" si="171"/>
        <v>-20.14551483411124</v>
      </c>
      <c r="P267" s="20">
        <f t="shared" si="171"/>
        <v>-15.480070519445363</v>
      </c>
      <c r="Q267" s="20">
        <f t="shared" si="171"/>
        <v>-9.638086698564678</v>
      </c>
      <c r="R267" s="20">
        <f t="shared" si="171"/>
        <v>-2.239088078442986</v>
      </c>
      <c r="S267" s="20">
        <f t="shared" si="171"/>
        <v>7.185483058447701</v>
      </c>
      <c r="T267" s="20">
        <f t="shared" si="171"/>
        <v>18.935972356802157</v>
      </c>
      <c r="U267" s="20">
        <f t="shared" si="171"/>
        <v>32.46497615052275</v>
      </c>
      <c r="V267" s="20">
        <f t="shared" si="171"/>
        <v>45.7375221148089</v>
      </c>
      <c r="W267" s="20">
        <f t="shared" si="171"/>
        <v>55.502783154314685</v>
      </c>
      <c r="X267" s="20">
        <f t="shared" si="171"/>
        <v>58.64266424761957</v>
      </c>
      <c r="Y267" s="20">
        <f t="shared" si="171"/>
        <v>53.91309551609207</v>
      </c>
      <c r="Z267" s="20">
        <f t="shared" si="171"/>
        <v>43.04331027695869</v>
      </c>
    </row>
    <row r="268" spans="1:26" ht="12.75">
      <c r="A268" s="20" t="s">
        <v>229</v>
      </c>
      <c r="B268" s="20">
        <f>B267*B26</f>
        <v>38.87410546172345</v>
      </c>
      <c r="C268" s="20">
        <f aca="true" t="shared" si="172" ref="C268:Z268">C267*C26</f>
        <v>28.95005033242893</v>
      </c>
      <c r="D268" s="20">
        <f t="shared" si="172"/>
        <v>16.47235247292465</v>
      </c>
      <c r="E268" s="20">
        <f t="shared" si="172"/>
        <v>1.416056047311999</v>
      </c>
      <c r="F268" s="20">
        <f t="shared" si="172"/>
        <v>-16.000301841657663</v>
      </c>
      <c r="G268" s="20">
        <f t="shared" si="172"/>
        <v>-34.83226473781535</v>
      </c>
      <c r="H268" s="20">
        <f t="shared" si="172"/>
        <v>-50.170346889584955</v>
      </c>
      <c r="I268" s="20">
        <f t="shared" si="172"/>
        <v>-54.70255497891252</v>
      </c>
      <c r="J268" s="20">
        <f t="shared" si="172"/>
        <v>-47.4826903409118</v>
      </c>
      <c r="K268" s="20">
        <f t="shared" si="172"/>
        <v>-36.56460236592755</v>
      </c>
      <c r="L268" s="20">
        <f t="shared" si="172"/>
        <v>-28.201508704307713</v>
      </c>
      <c r="M268" s="20">
        <f t="shared" si="172"/>
        <v>-22.69709654709135</v>
      </c>
      <c r="N268" s="20">
        <f t="shared" si="172"/>
        <v>-18.52812024971045</v>
      </c>
      <c r="O268" s="20">
        <f t="shared" si="172"/>
        <v>-14.655857184272781</v>
      </c>
      <c r="P268" s="20">
        <f t="shared" si="172"/>
        <v>-10.631287837114371</v>
      </c>
      <c r="Q268" s="20">
        <f t="shared" si="172"/>
        <v>-6.26981213994496</v>
      </c>
      <c r="R268" s="20">
        <f t="shared" si="172"/>
        <v>-1.390517043396697</v>
      </c>
      <c r="S268" s="20">
        <f t="shared" si="172"/>
        <v>4.322969348684982</v>
      </c>
      <c r="T268" s="20">
        <f t="shared" si="172"/>
        <v>11.302992440617674</v>
      </c>
      <c r="U268" s="20">
        <f t="shared" si="172"/>
        <v>19.886089240276462</v>
      </c>
      <c r="V268" s="20">
        <f t="shared" si="172"/>
        <v>29.915349306444007</v>
      </c>
      <c r="W268" s="20">
        <f t="shared" si="172"/>
        <v>40.15312387691208</v>
      </c>
      <c r="X268" s="20">
        <f t="shared" si="172"/>
        <v>47.792539029342876</v>
      </c>
      <c r="Y268" s="20">
        <f t="shared" si="172"/>
        <v>49.352349464131024</v>
      </c>
      <c r="Z268" s="20">
        <f t="shared" si="172"/>
        <v>43.45634701942173</v>
      </c>
    </row>
    <row r="269" spans="1:26" s="46" customFormat="1" ht="12.75">
      <c r="A269" s="57" t="s">
        <v>230</v>
      </c>
      <c r="B269" s="57">
        <f>B268-(B218+B200+B179+B158+B137+B116)</f>
        <v>0</v>
      </c>
      <c r="C269" s="57">
        <f aca="true" t="shared" si="173" ref="C269:Z269">C268-(C218+C200+C179+C158+C137+C116)</f>
        <v>0</v>
      </c>
      <c r="D269" s="57">
        <f t="shared" si="173"/>
        <v>0</v>
      </c>
      <c r="E269" s="57">
        <f t="shared" si="173"/>
        <v>4.884981308350689E-15</v>
      </c>
      <c r="F269" s="57">
        <f t="shared" si="173"/>
        <v>2.842170943040401E-14</v>
      </c>
      <c r="G269" s="57">
        <f t="shared" si="173"/>
        <v>0</v>
      </c>
      <c r="H269" s="57">
        <f t="shared" si="173"/>
        <v>0</v>
      </c>
      <c r="I269" s="57">
        <f t="shared" si="173"/>
        <v>0</v>
      </c>
      <c r="J269" s="57">
        <f t="shared" si="173"/>
        <v>0</v>
      </c>
      <c r="K269" s="57">
        <f t="shared" si="173"/>
        <v>0</v>
      </c>
      <c r="L269" s="57">
        <f t="shared" si="173"/>
        <v>0</v>
      </c>
      <c r="M269" s="57">
        <f t="shared" si="173"/>
        <v>0</v>
      </c>
      <c r="N269" s="57">
        <f t="shared" si="173"/>
        <v>0</v>
      </c>
      <c r="O269" s="57">
        <f t="shared" si="173"/>
        <v>0</v>
      </c>
      <c r="P269" s="57">
        <f t="shared" si="173"/>
        <v>0</v>
      </c>
      <c r="Q269" s="57">
        <f t="shared" si="173"/>
        <v>0</v>
      </c>
      <c r="R269" s="57">
        <f t="shared" si="173"/>
        <v>0</v>
      </c>
      <c r="S269" s="57">
        <f t="shared" si="173"/>
        <v>0</v>
      </c>
      <c r="T269" s="57">
        <f t="shared" si="173"/>
        <v>0</v>
      </c>
      <c r="U269" s="57">
        <f t="shared" si="173"/>
        <v>0</v>
      </c>
      <c r="V269" s="57">
        <f t="shared" si="173"/>
        <v>0</v>
      </c>
      <c r="W269" s="57">
        <f t="shared" si="173"/>
        <v>0</v>
      </c>
      <c r="X269" s="57">
        <f t="shared" si="173"/>
        <v>0</v>
      </c>
      <c r="Y269" s="57">
        <f t="shared" si="173"/>
        <v>0</v>
      </c>
      <c r="Z269" s="57">
        <f t="shared" si="173"/>
        <v>0</v>
      </c>
    </row>
    <row r="270" ht="13.5" thickBot="1"/>
    <row r="271" spans="1:5" ht="13.5" thickBot="1">
      <c r="A271" s="62" t="s">
        <v>242</v>
      </c>
      <c r="B271" s="63"/>
      <c r="C271" s="63"/>
      <c r="D271" s="63"/>
      <c r="E271" s="64"/>
    </row>
    <row r="272" spans="1:26" ht="12.75">
      <c r="A272" s="58" t="s">
        <v>187</v>
      </c>
      <c r="B272" s="20">
        <f>B218</f>
        <v>-0.3057229002255798</v>
      </c>
      <c r="C272" s="20">
        <f aca="true" t="shared" si="174" ref="C272:Z272">C218</f>
        <v>-0.8401613758244229</v>
      </c>
      <c r="D272" s="20">
        <f t="shared" si="174"/>
        <v>-1.300091272445484</v>
      </c>
      <c r="E272" s="20">
        <f t="shared" si="174"/>
        <v>-1.664073924812469</v>
      </c>
      <c r="F272" s="20">
        <f t="shared" si="174"/>
        <v>-1.934442653461844</v>
      </c>
      <c r="G272" s="20">
        <f t="shared" si="174"/>
        <v>-2.068164472210582</v>
      </c>
      <c r="H272" s="20">
        <f t="shared" si="174"/>
        <v>-1.9505677030168393</v>
      </c>
      <c r="I272" s="20">
        <f t="shared" si="174"/>
        <v>-1.5085663467414232</v>
      </c>
      <c r="J272" s="20">
        <f t="shared" si="174"/>
        <v>-0.8774080250821836</v>
      </c>
      <c r="K272" s="20">
        <f t="shared" si="174"/>
        <v>-0.3130800040230421</v>
      </c>
      <c r="L272" s="20">
        <f t="shared" si="174"/>
        <v>0.06620870467392263</v>
      </c>
      <c r="M272" s="20">
        <f t="shared" si="174"/>
        <v>0.3039499965237823</v>
      </c>
      <c r="N272" s="20">
        <f t="shared" si="174"/>
        <v>0.479738711898854</v>
      </c>
      <c r="O272" s="20">
        <f t="shared" si="174"/>
        <v>0.6462733179528688</v>
      </c>
      <c r="P272" s="20">
        <f t="shared" si="174"/>
        <v>0.8245307288786559</v>
      </c>
      <c r="Q272" s="20">
        <f t="shared" si="174"/>
        <v>1.0128239225134574</v>
      </c>
      <c r="R272" s="20">
        <f t="shared" si="174"/>
        <v>1.195821979993509</v>
      </c>
      <c r="S272" s="20">
        <f t="shared" si="174"/>
        <v>1.3520601754030577</v>
      </c>
      <c r="T272" s="20">
        <f t="shared" si="174"/>
        <v>1.4595602000278474</v>
      </c>
      <c r="U272" s="20">
        <f t="shared" si="174"/>
        <v>1.4970441465969895</v>
      </c>
      <c r="V272" s="20">
        <f t="shared" si="174"/>
        <v>1.4375421367105856</v>
      </c>
      <c r="W272" s="20">
        <f t="shared" si="174"/>
        <v>1.2405464169099134</v>
      </c>
      <c r="X272" s="20">
        <f t="shared" si="174"/>
        <v>0.8665406757682147</v>
      </c>
      <c r="Y272" s="20">
        <f t="shared" si="174"/>
        <v>0.32293960007489264</v>
      </c>
      <c r="Z272" s="20">
        <f t="shared" si="174"/>
        <v>-0.3086565684307665</v>
      </c>
    </row>
    <row r="273" spans="1:26" ht="12.75">
      <c r="A273" s="1" t="s">
        <v>231</v>
      </c>
      <c r="B273" s="20">
        <f>B268</f>
        <v>38.87410546172345</v>
      </c>
      <c r="C273" s="20">
        <f aca="true" t="shared" si="175" ref="C273:Z273">C268</f>
        <v>28.95005033242893</v>
      </c>
      <c r="D273" s="20">
        <f t="shared" si="175"/>
        <v>16.47235247292465</v>
      </c>
      <c r="E273" s="20">
        <f t="shared" si="175"/>
        <v>1.416056047311999</v>
      </c>
      <c r="F273" s="20">
        <f t="shared" si="175"/>
        <v>-16.000301841657663</v>
      </c>
      <c r="G273" s="20">
        <f t="shared" si="175"/>
        <v>-34.83226473781535</v>
      </c>
      <c r="H273" s="20">
        <f t="shared" si="175"/>
        <v>-50.170346889584955</v>
      </c>
      <c r="I273" s="20">
        <f t="shared" si="175"/>
        <v>-54.70255497891252</v>
      </c>
      <c r="J273" s="20">
        <f t="shared" si="175"/>
        <v>-47.4826903409118</v>
      </c>
      <c r="K273" s="20">
        <f t="shared" si="175"/>
        <v>-36.56460236592755</v>
      </c>
      <c r="L273" s="20">
        <f t="shared" si="175"/>
        <v>-28.201508704307713</v>
      </c>
      <c r="M273" s="20">
        <f t="shared" si="175"/>
        <v>-22.69709654709135</v>
      </c>
      <c r="N273" s="20">
        <f t="shared" si="175"/>
        <v>-18.52812024971045</v>
      </c>
      <c r="O273" s="20">
        <f t="shared" si="175"/>
        <v>-14.655857184272781</v>
      </c>
      <c r="P273" s="20">
        <f t="shared" si="175"/>
        <v>-10.631287837114371</v>
      </c>
      <c r="Q273" s="20">
        <f t="shared" si="175"/>
        <v>-6.26981213994496</v>
      </c>
      <c r="R273" s="20">
        <f t="shared" si="175"/>
        <v>-1.390517043396697</v>
      </c>
      <c r="S273" s="20">
        <f t="shared" si="175"/>
        <v>4.322969348684982</v>
      </c>
      <c r="T273" s="20">
        <f t="shared" si="175"/>
        <v>11.302992440617674</v>
      </c>
      <c r="U273" s="20">
        <f t="shared" si="175"/>
        <v>19.886089240276462</v>
      </c>
      <c r="V273" s="20">
        <f t="shared" si="175"/>
        <v>29.915349306444007</v>
      </c>
      <c r="W273" s="20">
        <f t="shared" si="175"/>
        <v>40.15312387691208</v>
      </c>
      <c r="X273" s="20">
        <f t="shared" si="175"/>
        <v>47.792539029342876</v>
      </c>
      <c r="Y273" s="20">
        <f t="shared" si="175"/>
        <v>49.352349464131024</v>
      </c>
      <c r="Z273" s="20">
        <f t="shared" si="175"/>
        <v>43.45634701942173</v>
      </c>
    </row>
    <row r="274" spans="1:26" ht="12.75">
      <c r="A274" s="1" t="s">
        <v>232</v>
      </c>
      <c r="B274" s="20">
        <f>B261</f>
        <v>33.96910546172345</v>
      </c>
      <c r="C274" s="20">
        <f aca="true" t="shared" si="176" ref="C274:Z274">C261</f>
        <v>24.71343209762422</v>
      </c>
      <c r="D274" s="20">
        <f t="shared" si="176"/>
        <v>13.350884576883566</v>
      </c>
      <c r="E274" s="20">
        <f t="shared" si="176"/>
        <v>-0.20880262583218823</v>
      </c>
      <c r="F274" s="20">
        <f t="shared" si="176"/>
        <v>-15.903326346755009</v>
      </c>
      <c r="G274" s="20">
        <f t="shared" si="176"/>
        <v>-32.97885051511854</v>
      </c>
      <c r="H274" s="20">
        <f t="shared" si="176"/>
        <v>-46.72438976504651</v>
      </c>
      <c r="I274" s="20">
        <f t="shared" si="176"/>
        <v>-50.03609272840771</v>
      </c>
      <c r="J274" s="20">
        <f t="shared" si="176"/>
        <v>-42.129991574181375</v>
      </c>
      <c r="K274" s="20">
        <f t="shared" si="176"/>
        <v>-31.069469864517764</v>
      </c>
      <c r="L274" s="20">
        <f t="shared" si="176"/>
        <v>-22.97104701531196</v>
      </c>
      <c r="M274" s="20">
        <f t="shared" si="176"/>
        <v>-18.010514367020242</v>
      </c>
      <c r="N274" s="20">
        <f t="shared" si="176"/>
        <v>-14.599863023067854</v>
      </c>
      <c r="O274" s="20">
        <f t="shared" si="176"/>
        <v>-11.646170748269562</v>
      </c>
      <c r="P274" s="20">
        <f t="shared" si="176"/>
        <v>-8.631866552275579</v>
      </c>
      <c r="Q274" s="20">
        <f t="shared" si="176"/>
        <v>-5.299840999549637</v>
      </c>
      <c r="R274" s="20">
        <f t="shared" si="176"/>
        <v>-1.4101645945770969</v>
      </c>
      <c r="S274" s="20">
        <f t="shared" si="176"/>
        <v>3.385510343492827</v>
      </c>
      <c r="T274" s="20">
        <f t="shared" si="176"/>
        <v>9.51756188007779</v>
      </c>
      <c r="U274" s="20">
        <f t="shared" si="176"/>
        <v>17.289473013747433</v>
      </c>
      <c r="V274" s="20">
        <f t="shared" si="176"/>
        <v>26.50195769854163</v>
      </c>
      <c r="W274" s="20">
        <f t="shared" si="176"/>
        <v>35.91677268021193</v>
      </c>
      <c r="X274" s="20">
        <f t="shared" si="176"/>
        <v>42.828320080972716</v>
      </c>
      <c r="Y274" s="20">
        <f t="shared" si="176"/>
        <v>43.95834350742025</v>
      </c>
      <c r="Z274" s="20">
        <f t="shared" si="176"/>
        <v>38.13959549369285</v>
      </c>
    </row>
    <row r="275" spans="1:26" ht="12.75">
      <c r="A275" s="1" t="s">
        <v>233</v>
      </c>
      <c r="B275" s="20">
        <f>B231</f>
        <v>-0.8673748477824306</v>
      </c>
      <c r="C275" s="20">
        <f aca="true" t="shared" si="177" ref="C275:Z275">C231</f>
        <v>-2.4811577384645793</v>
      </c>
      <c r="D275" s="20">
        <f t="shared" si="177"/>
        <v>-4.089320945350062</v>
      </c>
      <c r="E275" s="20">
        <f t="shared" si="177"/>
        <v>-6.151770389171514</v>
      </c>
      <c r="F275" s="20">
        <f t="shared" si="177"/>
        <v>-9.002032242183146</v>
      </c>
      <c r="G275" s="20">
        <f t="shared" si="177"/>
        <v>-12.095446500519401</v>
      </c>
      <c r="H275" s="20">
        <f t="shared" si="177"/>
        <v>-13.557050510133267</v>
      </c>
      <c r="I275" s="20">
        <f t="shared" si="177"/>
        <v>-11.406849634170877</v>
      </c>
      <c r="J275" s="20">
        <f t="shared" si="177"/>
        <v>-6.594281498679864</v>
      </c>
      <c r="K275" s="20">
        <f t="shared" si="177"/>
        <v>-2.2267193913127326</v>
      </c>
      <c r="L275" s="20">
        <f t="shared" si="177"/>
        <v>0.4435874205099049</v>
      </c>
      <c r="M275" s="20">
        <f t="shared" si="177"/>
        <v>1.9143794637608345</v>
      </c>
      <c r="N275" s="20">
        <f t="shared" si="177"/>
        <v>2.7836798132352505</v>
      </c>
      <c r="O275" s="20">
        <f t="shared" si="177"/>
        <v>3.3701941683630885</v>
      </c>
      <c r="P275" s="20">
        <f t="shared" si="177"/>
        <v>3.81633451870628</v>
      </c>
      <c r="Q275" s="20">
        <f t="shared" si="177"/>
        <v>4.178531199539183</v>
      </c>
      <c r="R275" s="20">
        <f t="shared" si="177"/>
        <v>4.471725087157918</v>
      </c>
      <c r="S275" s="20">
        <f t="shared" si="177"/>
        <v>4.690891210242952</v>
      </c>
      <c r="T275" s="20">
        <f t="shared" si="177"/>
        <v>4.818453684339595</v>
      </c>
      <c r="U275" s="20">
        <f t="shared" si="177"/>
        <v>4.81315255665363</v>
      </c>
      <c r="V275" s="20">
        <f t="shared" si="177"/>
        <v>4.574834727194632</v>
      </c>
      <c r="W275" s="20">
        <f t="shared" si="177"/>
        <v>3.9205155542975776</v>
      </c>
      <c r="X275" s="20">
        <f t="shared" si="177"/>
        <v>2.68285362019163</v>
      </c>
      <c r="Y275" s="20">
        <f t="shared" si="177"/>
        <v>0.9542232782544477</v>
      </c>
      <c r="Z275" s="20">
        <f t="shared" si="177"/>
        <v>-0.8536040865223241</v>
      </c>
    </row>
    <row r="276" spans="1:26" ht="12.75">
      <c r="A276" s="1" t="s">
        <v>234</v>
      </c>
      <c r="B276" s="20">
        <f>B254</f>
        <v>16.844657797861306</v>
      </c>
      <c r="C276" s="20">
        <f aca="true" t="shared" si="178" ref="C276:Z276">C254</f>
        <v>10.40226415136299</v>
      </c>
      <c r="D276" s="20">
        <f t="shared" si="178"/>
        <v>2.5430072895769205</v>
      </c>
      <c r="E276" s="20">
        <f t="shared" si="178"/>
        <v>-5.300162708928593</v>
      </c>
      <c r="F276" s="20">
        <f t="shared" si="178"/>
        <v>-12.65208812258472</v>
      </c>
      <c r="G276" s="20">
        <f t="shared" si="178"/>
        <v>-19.868834674301574</v>
      </c>
      <c r="H276" s="20">
        <f t="shared" si="178"/>
        <v>-25.44901932032467</v>
      </c>
      <c r="I276" s="20">
        <f t="shared" si="178"/>
        <v>-25.987736032231247</v>
      </c>
      <c r="J276" s="20">
        <f t="shared" si="178"/>
        <v>-20.39386409857129</v>
      </c>
      <c r="K276" s="20">
        <f t="shared" si="178"/>
        <v>-12.735686563256307</v>
      </c>
      <c r="L276" s="20">
        <f t="shared" si="178"/>
        <v>-7.060752865413736</v>
      </c>
      <c r="M276" s="20">
        <f t="shared" si="178"/>
        <v>-3.9592501682605112</v>
      </c>
      <c r="N276" s="20">
        <f t="shared" si="178"/>
        <v>-2.5809448052848056</v>
      </c>
      <c r="O276" s="20">
        <f t="shared" si="178"/>
        <v>-2.1727049929099946</v>
      </c>
      <c r="P276" s="20">
        <f t="shared" si="178"/>
        <v>-2.221989653498051</v>
      </c>
      <c r="Q276" s="20">
        <f t="shared" si="178"/>
        <v>-2.299717721976389</v>
      </c>
      <c r="R276" s="20">
        <f t="shared" si="178"/>
        <v>-1.9425403277223996</v>
      </c>
      <c r="S276" s="20">
        <f t="shared" si="178"/>
        <v>-0.6159659851019195</v>
      </c>
      <c r="T276" s="20">
        <f t="shared" si="178"/>
        <v>2.2080316952509937</v>
      </c>
      <c r="U276" s="20">
        <f t="shared" si="178"/>
        <v>6.844987575207475</v>
      </c>
      <c r="V276" s="20">
        <f t="shared" si="178"/>
        <v>13.114192213732473</v>
      </c>
      <c r="W276" s="20">
        <f t="shared" si="178"/>
        <v>19.974442793003277</v>
      </c>
      <c r="X276" s="20">
        <f t="shared" si="178"/>
        <v>25.147340439616354</v>
      </c>
      <c r="Y276" s="20">
        <f t="shared" si="178"/>
        <v>25.708633421520297</v>
      </c>
      <c r="Z276" s="20">
        <f t="shared" si="178"/>
        <v>20.486359930489307</v>
      </c>
    </row>
    <row r="278" spans="1:26" ht="12.75">
      <c r="A278" s="1" t="s">
        <v>235</v>
      </c>
      <c r="B278" s="20">
        <f>B116</f>
        <v>4.905</v>
      </c>
      <c r="C278" s="20">
        <f aca="true" t="shared" si="179" ref="C278:Z278">C116</f>
        <v>4.236618234804709</v>
      </c>
      <c r="D278" s="20">
        <f t="shared" si="179"/>
        <v>3.121467896041082</v>
      </c>
      <c r="E278" s="20">
        <f t="shared" si="179"/>
        <v>1.6248586731441894</v>
      </c>
      <c r="F278" s="20">
        <f t="shared" si="179"/>
        <v>-0.09697549490266545</v>
      </c>
      <c r="G278" s="20">
        <f t="shared" si="179"/>
        <v>-1.8534142226968187</v>
      </c>
      <c r="H278" s="20">
        <f t="shared" si="179"/>
        <v>-3.445957124538447</v>
      </c>
      <c r="I278" s="20">
        <f t="shared" si="179"/>
        <v>-4.666462250504812</v>
      </c>
      <c r="J278" s="20">
        <f t="shared" si="179"/>
        <v>-5.352698766730423</v>
      </c>
      <c r="K278" s="20">
        <f t="shared" si="179"/>
        <v>-5.495132501409787</v>
      </c>
      <c r="L278" s="20">
        <f t="shared" si="179"/>
        <v>-5.230461688995755</v>
      </c>
      <c r="M278" s="20">
        <f t="shared" si="179"/>
        <v>-4.686582180071106</v>
      </c>
      <c r="N278" s="20">
        <f t="shared" si="179"/>
        <v>-3.928257226642597</v>
      </c>
      <c r="O278" s="20">
        <f t="shared" si="179"/>
        <v>-3.009686436003216</v>
      </c>
      <c r="P278" s="20">
        <f t="shared" si="179"/>
        <v>-1.999421284838786</v>
      </c>
      <c r="Q278" s="20">
        <f t="shared" si="179"/>
        <v>-0.9699711403953248</v>
      </c>
      <c r="R278" s="20">
        <f t="shared" si="179"/>
        <v>0.019647551180401422</v>
      </c>
      <c r="S278" s="20">
        <f t="shared" si="179"/>
        <v>0.9374590051921571</v>
      </c>
      <c r="T278" s="20">
        <f t="shared" si="179"/>
        <v>1.7854305605398828</v>
      </c>
      <c r="U278" s="20">
        <f t="shared" si="179"/>
        <v>2.596616226529032</v>
      </c>
      <c r="V278" s="20">
        <f t="shared" si="179"/>
        <v>3.4133916079023723</v>
      </c>
      <c r="W278" s="20">
        <f t="shared" si="179"/>
        <v>4.2363511967001575</v>
      </c>
      <c r="X278" s="20">
        <f t="shared" si="179"/>
        <v>4.964218948370156</v>
      </c>
      <c r="Y278" s="20">
        <f t="shared" si="179"/>
        <v>5.394005956710771</v>
      </c>
      <c r="Z278" s="20">
        <f t="shared" si="179"/>
        <v>5.316751525728881</v>
      </c>
    </row>
    <row r="279" spans="1:26" ht="12.75">
      <c r="A279" s="1" t="s">
        <v>236</v>
      </c>
      <c r="B279" s="20">
        <f>B137</f>
        <v>17.991822511644568</v>
      </c>
      <c r="C279" s="20">
        <f aca="true" t="shared" si="180" ref="C279:Z279">C137</f>
        <v>16.792325684725814</v>
      </c>
      <c r="D279" s="20">
        <f t="shared" si="180"/>
        <v>14.897198232656706</v>
      </c>
      <c r="E279" s="20">
        <f t="shared" si="180"/>
        <v>11.24313047226791</v>
      </c>
      <c r="F279" s="20">
        <f t="shared" si="180"/>
        <v>5.750794018012837</v>
      </c>
      <c r="G279" s="20">
        <f t="shared" si="180"/>
        <v>-1.0145693402975668</v>
      </c>
      <c r="H279" s="20">
        <f t="shared" si="180"/>
        <v>-7.718319934588569</v>
      </c>
      <c r="I279" s="20">
        <f t="shared" si="180"/>
        <v>-12.64150706200559</v>
      </c>
      <c r="J279" s="20">
        <f t="shared" si="180"/>
        <v>-15.141845976930218</v>
      </c>
      <c r="K279" s="20">
        <f t="shared" si="180"/>
        <v>-16.107063909948735</v>
      </c>
      <c r="L279" s="20">
        <f t="shared" si="180"/>
        <v>-16.35388157040814</v>
      </c>
      <c r="M279" s="20">
        <f t="shared" si="180"/>
        <v>-15.965643662520565</v>
      </c>
      <c r="N279" s="20">
        <f t="shared" si="180"/>
        <v>-14.802598031018299</v>
      </c>
      <c r="O279" s="20">
        <f t="shared" si="180"/>
        <v>-12.843659923722656</v>
      </c>
      <c r="P279" s="20">
        <f t="shared" si="180"/>
        <v>-10.226211417483809</v>
      </c>
      <c r="Q279" s="20">
        <f t="shared" si="180"/>
        <v>-7.178654477112435</v>
      </c>
      <c r="R279" s="20">
        <f t="shared" si="180"/>
        <v>-3.9393493540126183</v>
      </c>
      <c r="S279" s="20">
        <f t="shared" si="180"/>
        <v>-0.6894148816482057</v>
      </c>
      <c r="T279" s="20">
        <f t="shared" si="180"/>
        <v>2.4910765004872015</v>
      </c>
      <c r="U279" s="20">
        <f t="shared" si="180"/>
        <v>5.631332881886326</v>
      </c>
      <c r="V279" s="20">
        <f t="shared" si="180"/>
        <v>8.812930757614527</v>
      </c>
      <c r="W279" s="20">
        <f t="shared" si="180"/>
        <v>12.02181433291107</v>
      </c>
      <c r="X279" s="20">
        <f t="shared" si="180"/>
        <v>14.998126021164735</v>
      </c>
      <c r="Y279" s="20">
        <f t="shared" si="180"/>
        <v>17.295486807645517</v>
      </c>
      <c r="Z279" s="20">
        <f t="shared" si="180"/>
        <v>18.506839649725872</v>
      </c>
    </row>
    <row r="280" spans="1:26" ht="12.75">
      <c r="A280" s="1" t="s">
        <v>237</v>
      </c>
      <c r="B280" s="20">
        <f>B158</f>
        <v>-0.5616519475568509</v>
      </c>
      <c r="C280" s="20">
        <f aca="true" t="shared" si="181" ref="C280:Z280">C158</f>
        <v>-1.6409963626401565</v>
      </c>
      <c r="D280" s="20">
        <f t="shared" si="181"/>
        <v>-2.7892296729045776</v>
      </c>
      <c r="E280" s="20">
        <f t="shared" si="181"/>
        <v>-4.487696464359043</v>
      </c>
      <c r="F280" s="20">
        <f t="shared" si="181"/>
        <v>-7.067589588721301</v>
      </c>
      <c r="G280" s="20">
        <f t="shared" si="181"/>
        <v>-10.027282028308816</v>
      </c>
      <c r="H280" s="20">
        <f t="shared" si="181"/>
        <v>-11.606482807116429</v>
      </c>
      <c r="I280" s="20">
        <f t="shared" si="181"/>
        <v>-9.898283287429454</v>
      </c>
      <c r="J280" s="20">
        <f t="shared" si="181"/>
        <v>-5.716873473597682</v>
      </c>
      <c r="K280" s="20">
        <f t="shared" si="181"/>
        <v>-1.9136393872896904</v>
      </c>
      <c r="L280" s="20">
        <f t="shared" si="181"/>
        <v>0.37737871583598226</v>
      </c>
      <c r="M280" s="20">
        <f t="shared" si="181"/>
        <v>1.6104294672370523</v>
      </c>
      <c r="N280" s="20">
        <f t="shared" si="181"/>
        <v>2.303941101336396</v>
      </c>
      <c r="O280" s="20">
        <f t="shared" si="181"/>
        <v>2.72392085041022</v>
      </c>
      <c r="P280" s="20">
        <f t="shared" si="181"/>
        <v>2.9918037898276237</v>
      </c>
      <c r="Q280" s="20">
        <f t="shared" si="181"/>
        <v>3.1657072770257257</v>
      </c>
      <c r="R280" s="20">
        <f t="shared" si="181"/>
        <v>3.27590310716441</v>
      </c>
      <c r="S280" s="20">
        <f t="shared" si="181"/>
        <v>3.338831034839894</v>
      </c>
      <c r="T280" s="20">
        <f t="shared" si="181"/>
        <v>3.358893484311748</v>
      </c>
      <c r="U280" s="20">
        <f t="shared" si="181"/>
        <v>3.3161084100566405</v>
      </c>
      <c r="V280" s="20">
        <f t="shared" si="181"/>
        <v>3.137292590484046</v>
      </c>
      <c r="W280" s="20">
        <f t="shared" si="181"/>
        <v>2.6799691373876637</v>
      </c>
      <c r="X280" s="20">
        <f t="shared" si="181"/>
        <v>1.8163129444234152</v>
      </c>
      <c r="Y280" s="20">
        <f t="shared" si="181"/>
        <v>0.631283678179555</v>
      </c>
      <c r="Z280" s="20">
        <f t="shared" si="181"/>
        <v>-0.5449475180915575</v>
      </c>
    </row>
    <row r="281" spans="1:26" ht="12.75">
      <c r="A281" s="1" t="s">
        <v>238</v>
      </c>
      <c r="B281" s="20">
        <f>B179</f>
        <v>4.634226513615134</v>
      </c>
      <c r="C281" s="20">
        <f aca="true" t="shared" si="182" ref="C281:Z281">C179</f>
        <v>3.030493176017495</v>
      </c>
      <c r="D281" s="20">
        <f t="shared" si="182"/>
        <v>0.9948143383312635</v>
      </c>
      <c r="E281" s="20">
        <f t="shared" si="182"/>
        <v>-1.0878546531713353</v>
      </c>
      <c r="F281" s="20">
        <f t="shared" si="182"/>
        <v>-3.0372079779027223</v>
      </c>
      <c r="G281" s="20">
        <f t="shared" si="182"/>
        <v>-4.903113045773454</v>
      </c>
      <c r="H281" s="20">
        <f t="shared" si="182"/>
        <v>-6.295413137775172</v>
      </c>
      <c r="I281" s="20">
        <f t="shared" si="182"/>
        <v>-6.404230478398863</v>
      </c>
      <c r="J281" s="20">
        <f t="shared" si="182"/>
        <v>-5.045732556831854</v>
      </c>
      <c r="K281" s="20">
        <f t="shared" si="182"/>
        <v>-3.2443823275869983</v>
      </c>
      <c r="L281" s="20">
        <f t="shared" si="182"/>
        <v>-1.9408337107830058</v>
      </c>
      <c r="M281" s="20">
        <f t="shared" si="182"/>
        <v>-1.2479995127559305</v>
      </c>
      <c r="N281" s="20">
        <f t="shared" si="182"/>
        <v>-0.9512590696165418</v>
      </c>
      <c r="O281" s="20">
        <f t="shared" si="182"/>
        <v>-0.8652911266319466</v>
      </c>
      <c r="P281" s="20">
        <f t="shared" si="182"/>
        <v>-0.8661110404453677</v>
      </c>
      <c r="Q281" s="20">
        <f t="shared" si="182"/>
        <v>-0.8519969903306696</v>
      </c>
      <c r="R281" s="20">
        <f t="shared" si="182"/>
        <v>-0.7132066904203548</v>
      </c>
      <c r="S281" s="20">
        <f t="shared" si="182"/>
        <v>-0.32138197013285685</v>
      </c>
      <c r="T281" s="20">
        <f t="shared" si="182"/>
        <v>0.4525982286173357</v>
      </c>
      <c r="U281" s="20">
        <f t="shared" si="182"/>
        <v>1.6888654154387057</v>
      </c>
      <c r="V281" s="20">
        <f t="shared" si="182"/>
        <v>3.348916551969616</v>
      </c>
      <c r="W281" s="20">
        <f t="shared" si="182"/>
        <v>5.181506033137136</v>
      </c>
      <c r="X281" s="20">
        <f t="shared" si="182"/>
        <v>6.614884776346419</v>
      </c>
      <c r="Y281" s="20">
        <f t="shared" si="182"/>
        <v>6.886306515408067</v>
      </c>
      <c r="Z281" s="20">
        <f t="shared" si="182"/>
        <v>5.6475522307448065</v>
      </c>
    </row>
    <row r="282" spans="1:26" ht="12.75">
      <c r="A282" s="1" t="s">
        <v>239</v>
      </c>
      <c r="B282" s="20">
        <f>B200</f>
        <v>12.21043128424617</v>
      </c>
      <c r="C282" s="20">
        <f aca="true" t="shared" si="183" ref="C282:Z282">C200</f>
        <v>7.371770975345496</v>
      </c>
      <c r="D282" s="20">
        <f t="shared" si="183"/>
        <v>1.5481929512456571</v>
      </c>
      <c r="E282" s="20">
        <f t="shared" si="183"/>
        <v>-4.212308055757258</v>
      </c>
      <c r="F282" s="20">
        <f t="shared" si="183"/>
        <v>-9.614880144681997</v>
      </c>
      <c r="G282" s="20">
        <f t="shared" si="183"/>
        <v>-14.965721628528119</v>
      </c>
      <c r="H282" s="20">
        <f t="shared" si="183"/>
        <v>-19.153606182549495</v>
      </c>
      <c r="I282" s="20">
        <f t="shared" si="183"/>
        <v>-19.58350555383238</v>
      </c>
      <c r="J282" s="20">
        <f t="shared" si="183"/>
        <v>-15.348131541739436</v>
      </c>
      <c r="K282" s="20">
        <f t="shared" si="183"/>
        <v>-9.491304235669304</v>
      </c>
      <c r="L282" s="20">
        <f t="shared" si="183"/>
        <v>-5.119919154630731</v>
      </c>
      <c r="M282" s="20">
        <f t="shared" si="183"/>
        <v>-2.71125065550458</v>
      </c>
      <c r="N282" s="20">
        <f t="shared" si="183"/>
        <v>-1.629685735668263</v>
      </c>
      <c r="O282" s="20">
        <f t="shared" si="183"/>
        <v>-1.3074138662780483</v>
      </c>
      <c r="P282" s="20">
        <f t="shared" si="183"/>
        <v>-1.3558786130526832</v>
      </c>
      <c r="Q282" s="20">
        <f t="shared" si="183"/>
        <v>-1.4477207316457197</v>
      </c>
      <c r="R282" s="20">
        <f t="shared" si="183"/>
        <v>-1.2293336373020447</v>
      </c>
      <c r="S282" s="20">
        <f t="shared" si="183"/>
        <v>-0.29458401496906267</v>
      </c>
      <c r="T282" s="20">
        <f t="shared" si="183"/>
        <v>1.7554334666336575</v>
      </c>
      <c r="U282" s="20">
        <f t="shared" si="183"/>
        <v>5.15612215976877</v>
      </c>
      <c r="V282" s="20">
        <f t="shared" si="183"/>
        <v>9.765275661762857</v>
      </c>
      <c r="W282" s="20">
        <f t="shared" si="183"/>
        <v>14.792936759866143</v>
      </c>
      <c r="X282" s="20">
        <f t="shared" si="183"/>
        <v>18.53245566326993</v>
      </c>
      <c r="Y282" s="20">
        <f t="shared" si="183"/>
        <v>18.82232690611223</v>
      </c>
      <c r="Z282" s="20">
        <f t="shared" si="183"/>
        <v>14.838807699744502</v>
      </c>
    </row>
    <row r="284" spans="1:8" ht="15">
      <c r="A284" s="59" t="s">
        <v>241</v>
      </c>
      <c r="B284" s="59"/>
      <c r="C284" s="59"/>
      <c r="D284" s="59"/>
      <c r="E284" s="59"/>
      <c r="F284" s="59"/>
      <c r="G284" s="60"/>
      <c r="H284" s="60"/>
    </row>
    <row r="285" spans="1:26" ht="12.75">
      <c r="A285" s="14" t="s">
        <v>32</v>
      </c>
      <c r="B285" s="20">
        <f>B267/$B$12</f>
        <v>0.19437052730861726</v>
      </c>
      <c r="C285" s="20">
        <f aca="true" t="shared" si="184" ref="C285:Z285">C267/$B$12</f>
        <v>0.14475025166214464</v>
      </c>
      <c r="D285" s="20">
        <f t="shared" si="184"/>
        <v>0.078373634912357</v>
      </c>
      <c r="E285" s="20">
        <f t="shared" si="184"/>
        <v>0.006502938841375001</v>
      </c>
      <c r="F285" s="20">
        <f t="shared" si="184"/>
        <v>-0.07218357672926622</v>
      </c>
      <c r="G285" s="20">
        <f t="shared" si="184"/>
        <v>-0.15692048671425526</v>
      </c>
      <c r="H285" s="20">
        <f t="shared" si="184"/>
        <v>-0.22954554745894748</v>
      </c>
      <c r="I285" s="20">
        <f t="shared" si="184"/>
        <v>-0.25905636082408234</v>
      </c>
      <c r="J285" s="20">
        <f t="shared" si="184"/>
        <v>-0.2372204906410051</v>
      </c>
      <c r="K285" s="20">
        <f t="shared" si="184"/>
        <v>-0.19520334043293025</v>
      </c>
      <c r="L285" s="20">
        <f t="shared" si="184"/>
        <v>-0.1612392721568562</v>
      </c>
      <c r="M285" s="20">
        <f t="shared" si="184"/>
        <v>-0.13840388301988005</v>
      </c>
      <c r="N285" s="20">
        <f t="shared" si="184"/>
        <v>-0.1200490088334287</v>
      </c>
      <c r="O285" s="20">
        <f t="shared" si="184"/>
        <v>-0.1007275741705562</v>
      </c>
      <c r="P285" s="20">
        <f t="shared" si="184"/>
        <v>-0.07740035259722682</v>
      </c>
      <c r="Q285" s="20">
        <f t="shared" si="184"/>
        <v>-0.04819043349282339</v>
      </c>
      <c r="R285" s="20">
        <f t="shared" si="184"/>
        <v>-0.01119544039221493</v>
      </c>
      <c r="S285" s="20">
        <f t="shared" si="184"/>
        <v>0.03592741529223851</v>
      </c>
      <c r="T285" s="20">
        <f t="shared" si="184"/>
        <v>0.09467986178401079</v>
      </c>
      <c r="U285" s="20">
        <f t="shared" si="184"/>
        <v>0.16232488075261375</v>
      </c>
      <c r="V285" s="20">
        <f t="shared" si="184"/>
        <v>0.2286876105740445</v>
      </c>
      <c r="W285" s="20">
        <f t="shared" si="184"/>
        <v>0.2775139157715734</v>
      </c>
      <c r="X285" s="20">
        <f t="shared" si="184"/>
        <v>0.29321332123809785</v>
      </c>
      <c r="Y285" s="20">
        <f t="shared" si="184"/>
        <v>0.26956547758046034</v>
      </c>
      <c r="Z285" s="20">
        <f t="shared" si="184"/>
        <v>0.21521655138479345</v>
      </c>
    </row>
  </sheetData>
  <mergeCells count="12">
    <mergeCell ref="B1:C1"/>
    <mergeCell ref="E1:F1"/>
    <mergeCell ref="A271:E271"/>
    <mergeCell ref="A241:C241"/>
    <mergeCell ref="A248:C248"/>
    <mergeCell ref="A257:C257"/>
    <mergeCell ref="A264:C264"/>
    <mergeCell ref="N13:P13"/>
    <mergeCell ref="A220:C220"/>
    <mergeCell ref="A227:C227"/>
    <mergeCell ref="A234:C234"/>
    <mergeCell ref="A29:B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1">
      <selection activeCell="M137" sqref="M1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N24" sqref="N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1</cp:lastModifiedBy>
  <dcterms:created xsi:type="dcterms:W3CDTF">2009-03-05T06:51:45Z</dcterms:created>
  <dcterms:modified xsi:type="dcterms:W3CDTF">2010-02-09T10:51:30Z</dcterms:modified>
  <cp:category/>
  <cp:version/>
  <cp:contentType/>
  <cp:contentStatus/>
</cp:coreProperties>
</file>