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61" windowWidth="15480" windowHeight="11430" tabRatio="601" activeTab="2"/>
  </bookViews>
  <sheets>
    <sheet name="Cхема" sheetId="1" r:id="rId1"/>
    <sheet name="Адреса" sheetId="2" r:id="rId2"/>
    <sheet name="Расче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<sst xmlns="http://schemas.openxmlformats.org/spreadsheetml/2006/main" count="547" uniqueCount="442">
  <si>
    <t>L1</t>
  </si>
  <si>
    <t>L2</t>
  </si>
  <si>
    <t>L3</t>
  </si>
  <si>
    <t>(Fi)0 grad</t>
  </si>
  <si>
    <t>(Fi)t 0</t>
  </si>
  <si>
    <t>(Fi)tt  0</t>
  </si>
  <si>
    <t>Угловые характеристики работы кривошипа</t>
  </si>
  <si>
    <t>Fi</t>
  </si>
  <si>
    <t>Fi(радианы)</t>
  </si>
  <si>
    <t>cos(DeltaFi)</t>
  </si>
  <si>
    <t>sin(DeltaFi)</t>
  </si>
  <si>
    <t>Fi(tt)</t>
  </si>
  <si>
    <t>Fi(t)</t>
  </si>
  <si>
    <t>Fi   расчетн</t>
  </si>
  <si>
    <t>Проверка</t>
  </si>
  <si>
    <t>Тип</t>
  </si>
  <si>
    <t>Значение</t>
  </si>
  <si>
    <t xml:space="preserve"> Точка А через О1</t>
  </si>
  <si>
    <t>(X)A=</t>
  </si>
  <si>
    <t>(Y)A=</t>
  </si>
  <si>
    <t>(X_t)A=</t>
  </si>
  <si>
    <t>(Y_t)A=</t>
  </si>
  <si>
    <t>(X_tt)A=</t>
  </si>
  <si>
    <t>(Y_tt)A=</t>
  </si>
  <si>
    <t>Принято:</t>
  </si>
  <si>
    <t>Psi</t>
  </si>
  <si>
    <t>Ksi</t>
  </si>
  <si>
    <t>Psi(t)</t>
  </si>
  <si>
    <t>Ksi(t)</t>
  </si>
  <si>
    <t>f1</t>
  </si>
  <si>
    <t>f2</t>
  </si>
  <si>
    <t>Psi (tt)</t>
  </si>
  <si>
    <t>Ksi (tt)</t>
  </si>
  <si>
    <t>Точка В через А</t>
  </si>
  <si>
    <t>(X)B=</t>
  </si>
  <si>
    <t>(Y)B=</t>
  </si>
  <si>
    <t>(X_t)B=</t>
  </si>
  <si>
    <t>(Y_t)B=</t>
  </si>
  <si>
    <t>(X_tt)B=</t>
  </si>
  <si>
    <t>(Y_tt)B=</t>
  </si>
  <si>
    <t>Ur1</t>
  </si>
  <si>
    <t>Ur2=</t>
  </si>
  <si>
    <t>Проверка L1</t>
  </si>
  <si>
    <t>Проверка L2</t>
  </si>
  <si>
    <t>m</t>
  </si>
  <si>
    <t>mg</t>
  </si>
  <si>
    <t>Кинематический анализ</t>
  </si>
  <si>
    <t>(P)t</t>
  </si>
  <si>
    <t>(Q)t</t>
  </si>
  <si>
    <t>Угловые характеристики для шатуна AB и коромысла BO2</t>
  </si>
  <si>
    <t xml:space="preserve">   +(Fi)tt=</t>
  </si>
  <si>
    <t>Точка</t>
  </si>
  <si>
    <t>Alfa</t>
  </si>
  <si>
    <t>Beta</t>
  </si>
  <si>
    <t>A</t>
  </si>
  <si>
    <t>B</t>
  </si>
  <si>
    <t>G</t>
  </si>
  <si>
    <t>D</t>
  </si>
  <si>
    <t>ЦЕНТРЫ МАСС</t>
  </si>
  <si>
    <t>J</t>
  </si>
  <si>
    <t>C1</t>
  </si>
  <si>
    <t>C2</t>
  </si>
  <si>
    <t>C3</t>
  </si>
  <si>
    <t>C4</t>
  </si>
  <si>
    <t>C5</t>
  </si>
  <si>
    <t>g=</t>
  </si>
  <si>
    <t>L31</t>
  </si>
  <si>
    <t>L32</t>
  </si>
  <si>
    <t>(X)D=</t>
  </si>
  <si>
    <t>(Y)D=</t>
  </si>
  <si>
    <t>(X_t)D=</t>
  </si>
  <si>
    <t>(Y_t)D=</t>
  </si>
  <si>
    <t>(X_tt)D=</t>
  </si>
  <si>
    <t>(Y_tt)D=</t>
  </si>
  <si>
    <t xml:space="preserve">Расстояние m до направляющей </t>
  </si>
  <si>
    <t>L4</t>
  </si>
  <si>
    <t>sin(mu)=</t>
  </si>
  <si>
    <t>mu=</t>
  </si>
  <si>
    <t>Teta=u-mu</t>
  </si>
  <si>
    <t>(h)t=</t>
  </si>
  <si>
    <t>(h)tt=</t>
  </si>
  <si>
    <t>h-h0=</t>
  </si>
  <si>
    <t>(mu)t=</t>
  </si>
  <si>
    <t>(Teta)t=</t>
  </si>
  <si>
    <t>(Teta)tt=</t>
  </si>
  <si>
    <t>(Teta)tt=1</t>
  </si>
  <si>
    <t>(Teta)tt=2</t>
  </si>
  <si>
    <t>Teta-Teta0=</t>
  </si>
  <si>
    <t>Проверка L(DB)</t>
  </si>
  <si>
    <t>X(c1)=</t>
  </si>
  <si>
    <t>Y(c1)=</t>
  </si>
  <si>
    <t>Xt(c1)=</t>
  </si>
  <si>
    <t>Yt(c1)=</t>
  </si>
  <si>
    <t>Xtt(c1)=</t>
  </si>
  <si>
    <t>Ytt(c1)=</t>
  </si>
  <si>
    <t>Fx(c1)=</t>
  </si>
  <si>
    <t>Fy(c1)=</t>
  </si>
  <si>
    <t>M(c1)=</t>
  </si>
  <si>
    <t>Проверка СО</t>
  </si>
  <si>
    <t>Проверка СA</t>
  </si>
  <si>
    <t>Wkin(c1)=</t>
  </si>
  <si>
    <t>Wpot(c1)=</t>
  </si>
  <si>
    <t>Wsum(c1)=</t>
  </si>
  <si>
    <t>Ekin(c1)=</t>
  </si>
  <si>
    <t>deltaEpot(c1)=</t>
  </si>
  <si>
    <t>X(c2)=</t>
  </si>
  <si>
    <t>Y(c2)=</t>
  </si>
  <si>
    <t>Xt(c2)=</t>
  </si>
  <si>
    <t>Yt(c2)=</t>
  </si>
  <si>
    <t>Xtt(c2)=</t>
  </si>
  <si>
    <t>Ytt(c2)=</t>
  </si>
  <si>
    <t>Проверка FA</t>
  </si>
  <si>
    <t>Проверка FB</t>
  </si>
  <si>
    <t>Fx(c2)=</t>
  </si>
  <si>
    <t>Fy(c2)=</t>
  </si>
  <si>
    <t>M(c2)=</t>
  </si>
  <si>
    <t>Wkin(c2)=</t>
  </si>
  <si>
    <t>Wpot(c2)=</t>
  </si>
  <si>
    <t>Wsum(c2)=</t>
  </si>
  <si>
    <t>Ekin(c2)=</t>
  </si>
  <si>
    <t>deltaEpot(c2)=</t>
  </si>
  <si>
    <t>X(c3)=</t>
  </si>
  <si>
    <t>Y(c3)=</t>
  </si>
  <si>
    <t>Xt(c3)=</t>
  </si>
  <si>
    <t>Yt(c3)=</t>
  </si>
  <si>
    <t>Xtt(c3)=</t>
  </si>
  <si>
    <t>Ytt(c3)=</t>
  </si>
  <si>
    <t>Проверка ВС3</t>
  </si>
  <si>
    <t>Fx(c3)=</t>
  </si>
  <si>
    <t>Fy(c3)=</t>
  </si>
  <si>
    <t>M(c3)=</t>
  </si>
  <si>
    <t>Wkin(c3)=</t>
  </si>
  <si>
    <t>Wpot(c3)=</t>
  </si>
  <si>
    <t>Wsum(c3)=</t>
  </si>
  <si>
    <t>Ekin(c3)=</t>
  </si>
  <si>
    <t>deltaEpot(c3)=</t>
  </si>
  <si>
    <t>Проверка С3О1</t>
  </si>
  <si>
    <t xml:space="preserve">звено 3, точка с3 через B </t>
  </si>
  <si>
    <t>X(c4)=</t>
  </si>
  <si>
    <t>Y(c4)=</t>
  </si>
  <si>
    <t>Xt(c4)=</t>
  </si>
  <si>
    <t>Yt(c4)=</t>
  </si>
  <si>
    <t>Xtt(c4)=</t>
  </si>
  <si>
    <t>Ytt(c4)=</t>
  </si>
  <si>
    <t>Fx(c4)=</t>
  </si>
  <si>
    <t>Fy(c4)=</t>
  </si>
  <si>
    <t>M(c4)=</t>
  </si>
  <si>
    <t>Wkin(c4)=</t>
  </si>
  <si>
    <t>Wpot(c4)=</t>
  </si>
  <si>
    <t>Wsum(c4)=</t>
  </si>
  <si>
    <t>Ekin(c4)=</t>
  </si>
  <si>
    <t>deltaEpot(c4)=</t>
  </si>
  <si>
    <t>X(c5)=</t>
  </si>
  <si>
    <t>Y(c5)=</t>
  </si>
  <si>
    <t>Xt(c5)=</t>
  </si>
  <si>
    <t>Yt(c5)=</t>
  </si>
  <si>
    <t>Xtt(c5)=</t>
  </si>
  <si>
    <t>Ytt(c5)=</t>
  </si>
  <si>
    <t>Fx(c5)=</t>
  </si>
  <si>
    <t>Fy(c5)=</t>
  </si>
  <si>
    <t>M(c5)=</t>
  </si>
  <si>
    <t>Wkin(c5)=</t>
  </si>
  <si>
    <t>Wpot(c5)=</t>
  </si>
  <si>
    <t>Wsum(c5)=</t>
  </si>
  <si>
    <t>Ekin(c5)=</t>
  </si>
  <si>
    <t>deltaEpot(c5)=</t>
  </si>
  <si>
    <t>Tx=</t>
  </si>
  <si>
    <t>Ty=</t>
  </si>
  <si>
    <t>СИЛОВОЙ РАСЧЕТ</t>
  </si>
  <si>
    <t>Proverka balansa</t>
  </si>
  <si>
    <t>Шарнир b3 ОТ КОРОМЫСЛА</t>
  </si>
  <si>
    <t>Шарнир b3 ОТ ВСЕХ ПОТРЕБИТЕЛЕЙ</t>
  </si>
  <si>
    <t>A0</t>
  </si>
  <si>
    <t>A1</t>
  </si>
  <si>
    <t>A2</t>
  </si>
  <si>
    <t>A3</t>
  </si>
  <si>
    <t>Сила Тх</t>
  </si>
  <si>
    <t>Сила Ту</t>
  </si>
  <si>
    <t>Момент</t>
  </si>
  <si>
    <t>Фактор</t>
  </si>
  <si>
    <t>=А0+A1*SIN(A2*Fi)+(A2*COS(A3))^A4</t>
  </si>
  <si>
    <t>A4</t>
  </si>
  <si>
    <t>Шарнир B2</t>
  </si>
  <si>
    <t>Шарнир A2 ot C2</t>
  </si>
  <si>
    <t>Шарнир A2 summa</t>
  </si>
  <si>
    <t xml:space="preserve">Шарнир A2 ot B2 </t>
  </si>
  <si>
    <t>M(A2)=</t>
  </si>
  <si>
    <t>Шарнир A1</t>
  </si>
  <si>
    <t>M(A1)=</t>
  </si>
  <si>
    <t>Шарнир O1</t>
  </si>
  <si>
    <t>Nx=</t>
  </si>
  <si>
    <t>Ny=</t>
  </si>
  <si>
    <t>Mo=</t>
  </si>
  <si>
    <t>W0(Q)</t>
  </si>
  <si>
    <t>M(B3)=</t>
  </si>
  <si>
    <t>M(B2)=</t>
  </si>
  <si>
    <t>ПЕРЕСЧЕТ МОМЕНТОВ НА ПАРЫ "ПАРАКТИВНЫЕ + ПАССИВНЫЕ" СИЛЫ</t>
  </si>
  <si>
    <t>∆=</t>
  </si>
  <si>
    <t>Pr-ka R</t>
  </si>
  <si>
    <t>Pr-ka N</t>
  </si>
  <si>
    <t>Pr-ka W</t>
  </si>
  <si>
    <t>Pr-ka P</t>
  </si>
  <si>
    <t>Rb=</t>
  </si>
  <si>
    <t>ШАРНИР A</t>
  </si>
  <si>
    <t>(Rx)A=</t>
  </si>
  <si>
    <t>(RY)A=</t>
  </si>
  <si>
    <t>(Px)A=</t>
  </si>
  <si>
    <t>(PY)A=</t>
  </si>
  <si>
    <t>(Nx)B=</t>
  </si>
  <si>
    <t>(Ny)B=</t>
  </si>
  <si>
    <t>ШАРНИР O</t>
  </si>
  <si>
    <t>(Nx)O=</t>
  </si>
  <si>
    <t>(NY)O=</t>
  </si>
  <si>
    <t>M(O)=</t>
  </si>
  <si>
    <t>Pr-ka W(B)</t>
  </si>
  <si>
    <t>Pr-ka W(A)</t>
  </si>
  <si>
    <t>(Sx)B=</t>
  </si>
  <si>
    <t>(Sy)B=</t>
  </si>
  <si>
    <t>ШАРНИР B3</t>
  </si>
  <si>
    <t>Rb3=</t>
  </si>
  <si>
    <t>(RY)B3=</t>
  </si>
  <si>
    <t>(Px)B3=</t>
  </si>
  <si>
    <t>(PY)B3=</t>
  </si>
  <si>
    <t>M(W)=</t>
  </si>
  <si>
    <t>ЭНЕРГЕТИЧЕСКИЕ ПОТОКИ</t>
  </si>
  <si>
    <t>С1</t>
  </si>
  <si>
    <t>С2</t>
  </si>
  <si>
    <t>С3</t>
  </si>
  <si>
    <t>С4</t>
  </si>
  <si>
    <t>С5</t>
  </si>
  <si>
    <t>O</t>
  </si>
  <si>
    <t>T5</t>
  </si>
  <si>
    <t>W(sum)=</t>
  </si>
  <si>
    <t>МАССА МАХОВИКА</t>
  </si>
  <si>
    <t>Ekin1</t>
  </si>
  <si>
    <t>Ekin2</t>
  </si>
  <si>
    <t>Ekin3</t>
  </si>
  <si>
    <t>Ekin4</t>
  </si>
  <si>
    <t>Ekin5</t>
  </si>
  <si>
    <t>del(Eпот)1</t>
  </si>
  <si>
    <t>del(Eпот)2</t>
  </si>
  <si>
    <t>del(Eпот)3</t>
  </si>
  <si>
    <t>del(Eпот)4</t>
  </si>
  <si>
    <t>del(Eпот)5</t>
  </si>
  <si>
    <t>(w)1=</t>
  </si>
  <si>
    <t>Wkin(c2 вращ)=</t>
  </si>
  <si>
    <t>Файл ПЯТОВА .И.</t>
  </si>
  <si>
    <t>Пятова И.Ю.</t>
  </si>
  <si>
    <t>ГМО-2-07</t>
  </si>
  <si>
    <r>
      <t>∆</t>
    </r>
    <r>
      <rPr>
        <b/>
        <sz val="11"/>
        <color indexed="20"/>
        <rFont val="Arial Cyr"/>
        <family val="0"/>
      </rPr>
      <t>(Fi) градусы</t>
    </r>
  </si>
  <si>
    <r>
      <t>∆</t>
    </r>
    <r>
      <rPr>
        <b/>
        <sz val="11"/>
        <color indexed="20"/>
        <rFont val="Arial Cyr"/>
        <family val="0"/>
      </rPr>
      <t>(Fi) радианы</t>
    </r>
  </si>
  <si>
    <t>a(o1)</t>
  </si>
  <si>
    <t>b(o1)</t>
  </si>
  <si>
    <t>тип</t>
  </si>
  <si>
    <t>значение</t>
  </si>
  <si>
    <t>θ  grad</t>
  </si>
  <si>
    <t>θ  radian</t>
  </si>
  <si>
    <t>tan(θ)=</t>
  </si>
  <si>
    <r>
      <t>∆</t>
    </r>
    <r>
      <rPr>
        <b/>
        <sz val="11"/>
        <color indexed="20"/>
        <rFont val="Arial Cyr"/>
        <family val="0"/>
      </rPr>
      <t>(Fi)</t>
    </r>
  </si>
  <si>
    <t>∆(t)</t>
  </si>
  <si>
    <t>ν=</t>
  </si>
  <si>
    <t>a=</t>
  </si>
  <si>
    <t>an=</t>
  </si>
  <si>
    <t>ar=</t>
  </si>
  <si>
    <t>ρ=</t>
  </si>
  <si>
    <t>P=</t>
  </si>
  <si>
    <t>Q=</t>
  </si>
  <si>
    <t>F=</t>
  </si>
  <si>
    <t>Discriminant=</t>
  </si>
  <si>
    <t>tg((ψ1)/2)=</t>
  </si>
  <si>
    <t>ψ1(radian)=</t>
  </si>
  <si>
    <t>ξ1 (cos),rad=</t>
  </si>
  <si>
    <t>Ur1=</t>
  </si>
  <si>
    <t>ξ1 (sin),rad=</t>
  </si>
  <si>
    <t>tg((ψ2)/2)=</t>
  </si>
  <si>
    <t>ψ2(radian)=</t>
  </si>
  <si>
    <t>ξ2 (sin),rad=</t>
  </si>
  <si>
    <t>ξ2 (cos),rad=</t>
  </si>
  <si>
    <r>
      <t>∆</t>
    </r>
    <r>
      <rPr>
        <b/>
        <sz val="11"/>
        <color indexed="20"/>
        <rFont val="Arial Cyr"/>
        <family val="0"/>
      </rPr>
      <t>(Psi)</t>
    </r>
  </si>
  <si>
    <t>∆(Ksi)</t>
  </si>
  <si>
    <t>Точка В через O1</t>
  </si>
  <si>
    <t>(X_tt)B 1=</t>
  </si>
  <si>
    <t>(Y_tt)B 1=</t>
  </si>
  <si>
    <t>Проверка L31</t>
  </si>
  <si>
    <t>Точка G через О1</t>
  </si>
  <si>
    <t>(X)G=</t>
  </si>
  <si>
    <t>(Y)G=</t>
  </si>
  <si>
    <t>(X_t)G=</t>
  </si>
  <si>
    <t>(Y_t)G=</t>
  </si>
  <si>
    <t>(X_tt)G=</t>
  </si>
  <si>
    <t>(Y_tt)G=</t>
  </si>
  <si>
    <t>Проверка L32</t>
  </si>
  <si>
    <t xml:space="preserve">Предварительные вычисления для точки </t>
  </si>
  <si>
    <t>h=GK</t>
  </si>
  <si>
    <t>Точка D через G</t>
  </si>
  <si>
    <t>Проверка L4</t>
  </si>
  <si>
    <t>Энергетический анализ</t>
  </si>
  <si>
    <t>Звено1, точка с1 через точку О</t>
  </si>
  <si>
    <t>Звено2, точка с2 через точку А</t>
  </si>
  <si>
    <t>Звено3, точка с3 через точку O1</t>
  </si>
  <si>
    <t>Звено 4,точка С4 через G</t>
  </si>
  <si>
    <t>Проверка C4G</t>
  </si>
  <si>
    <t>Звено 5,точка С5 через D</t>
  </si>
  <si>
    <t>ТЕХНОЛОГИЧЕСКИЕ СИЛЫ В ТОЧКЕ Т НА ЗВЕНЕ 5</t>
  </si>
  <si>
    <t>X(Т5)=</t>
  </si>
  <si>
    <t>Y(Т5)=</t>
  </si>
  <si>
    <t>Xt(T5)=</t>
  </si>
  <si>
    <t>Yt(T5)=</t>
  </si>
  <si>
    <t>Xtt(T5)=</t>
  </si>
  <si>
    <t>Ytt(T5)=</t>
  </si>
  <si>
    <t>MT=</t>
  </si>
  <si>
    <t xml:space="preserve">               Wtechn</t>
  </si>
  <si>
    <t>ОБОБЩЕННЫЕ СИЛЫ НА ШАРНИРЕ Д5</t>
  </si>
  <si>
    <t>Qx(D5)=</t>
  </si>
  <si>
    <t>Qy(D5)=</t>
  </si>
  <si>
    <t>M(D5)=</t>
  </si>
  <si>
    <t>W_(D5)=</t>
  </si>
  <si>
    <t>Proverka</t>
  </si>
  <si>
    <t>ОБОБЩЕННЫЕ СИЛЫ НА ШАРНИРЕ Д4</t>
  </si>
  <si>
    <t>Qx(D4)=</t>
  </si>
  <si>
    <t>Qy(D4)=</t>
  </si>
  <si>
    <t>M(D4)=</t>
  </si>
  <si>
    <t>W_(D4)=</t>
  </si>
  <si>
    <t>ОБОБЩЕННЫЕ СИЛЫ НА ШАРНИРЕ G4</t>
  </si>
  <si>
    <t>Qx(G4)=</t>
  </si>
  <si>
    <t>Qy(G4)=</t>
  </si>
  <si>
    <t>M(G4)=</t>
  </si>
  <si>
    <t>W_(G4)=</t>
  </si>
  <si>
    <t>ОБОБЩЕННЫЕ СИЛЫ НА ШАРНИРЕ G3</t>
  </si>
  <si>
    <t>Qx(G3)=</t>
  </si>
  <si>
    <t>Qy(G3)=</t>
  </si>
  <si>
    <t>M(G3)=</t>
  </si>
  <si>
    <t>W_(G3)=</t>
  </si>
  <si>
    <t>Qx(B3)=</t>
  </si>
  <si>
    <t>Qy(B3)=</t>
  </si>
  <si>
    <t>W_(B3) =</t>
  </si>
  <si>
    <t>Шарнир b3 oт Шарнира G3</t>
  </si>
  <si>
    <t>Qx(B2)=</t>
  </si>
  <si>
    <t>Qy(B2)=</t>
  </si>
  <si>
    <t>W_(B2)=</t>
  </si>
  <si>
    <t>Qx(A2)=</t>
  </si>
  <si>
    <t>Qy(A2)=</t>
  </si>
  <si>
    <t>W_(A2)=</t>
  </si>
  <si>
    <t>Qx(A1)=</t>
  </si>
  <si>
    <t>Qy(A1)=</t>
  </si>
  <si>
    <t>W_(A1)=</t>
  </si>
  <si>
    <t>Wkin(c4 вращ)=</t>
  </si>
  <si>
    <t>Проверка C4D</t>
  </si>
  <si>
    <t>Проверка C5D</t>
  </si>
  <si>
    <t>Т4=</t>
  </si>
  <si>
    <t>ШАРНИР G</t>
  </si>
  <si>
    <t>(Nx)D=</t>
  </si>
  <si>
    <t>(Ny)D=</t>
  </si>
  <si>
    <t>на ползуне 5</t>
  </si>
  <si>
    <t>b31</t>
  </si>
  <si>
    <t>b87</t>
  </si>
  <si>
    <t>b32</t>
  </si>
  <si>
    <t>b88</t>
  </si>
  <si>
    <t>b33</t>
  </si>
  <si>
    <t>b89</t>
  </si>
  <si>
    <t>b34</t>
  </si>
  <si>
    <t>b90</t>
  </si>
  <si>
    <t>b35</t>
  </si>
  <si>
    <t>b91</t>
  </si>
  <si>
    <t>b36</t>
  </si>
  <si>
    <t>b92</t>
  </si>
  <si>
    <t>Ирина! Вам надо писать собственные учебники! Почти все сделано не так, как я читал на лекциях!!!</t>
  </si>
  <si>
    <t>Углы</t>
  </si>
  <si>
    <t>Teta</t>
  </si>
  <si>
    <t>Угол(радианы)</t>
  </si>
  <si>
    <t>Угол(tt)</t>
  </si>
  <si>
    <t>Угол(t)</t>
  </si>
  <si>
    <r>
      <t>∆</t>
    </r>
    <r>
      <rPr>
        <b/>
        <sz val="11"/>
        <color indexed="20"/>
        <rFont val="Arial Cyr"/>
        <family val="0"/>
      </rPr>
      <t>(Угол) радианы</t>
    </r>
  </si>
  <si>
    <t>А</t>
  </si>
  <si>
    <t>В</t>
  </si>
  <si>
    <t>B*</t>
  </si>
  <si>
    <t>L5</t>
  </si>
  <si>
    <t>M5</t>
  </si>
  <si>
    <t>K5</t>
  </si>
  <si>
    <t>J5</t>
  </si>
  <si>
    <t>I5</t>
  </si>
  <si>
    <t>H</t>
  </si>
  <si>
    <t>I</t>
  </si>
  <si>
    <t>K</t>
  </si>
  <si>
    <t>L</t>
  </si>
  <si>
    <t>M6</t>
  </si>
  <si>
    <t>L6</t>
  </si>
  <si>
    <t>K6</t>
  </si>
  <si>
    <t>J6</t>
  </si>
  <si>
    <t>M7</t>
  </si>
  <si>
    <t>M8</t>
  </si>
  <si>
    <t>M9</t>
  </si>
  <si>
    <t>L7</t>
  </si>
  <si>
    <t>L8</t>
  </si>
  <si>
    <t>L9</t>
  </si>
  <si>
    <t>K7</t>
  </si>
  <si>
    <t>K8</t>
  </si>
  <si>
    <t>K9</t>
  </si>
  <si>
    <t>J7</t>
  </si>
  <si>
    <t>J8</t>
  </si>
  <si>
    <t>J9</t>
  </si>
  <si>
    <t>M10</t>
  </si>
  <si>
    <t>L10</t>
  </si>
  <si>
    <t>K10</t>
  </si>
  <si>
    <t>J10</t>
  </si>
  <si>
    <t>I6</t>
  </si>
  <si>
    <t>I7</t>
  </si>
  <si>
    <t>I8</t>
  </si>
  <si>
    <t>I9</t>
  </si>
  <si>
    <t>I10</t>
  </si>
  <si>
    <t>(X)=</t>
  </si>
  <si>
    <t>(Y)=</t>
  </si>
  <si>
    <t>(X_t)=</t>
  </si>
  <si>
    <t>(Y_t)=</t>
  </si>
  <si>
    <t>(X_tt)=</t>
  </si>
  <si>
    <t>(Y_tt)=</t>
  </si>
  <si>
    <t>Qx</t>
  </si>
  <si>
    <t>Qy</t>
  </si>
  <si>
    <t>M</t>
  </si>
  <si>
    <t>Rx</t>
  </si>
  <si>
    <t>Ry</t>
  </si>
  <si>
    <t>Px</t>
  </si>
  <si>
    <t>Py</t>
  </si>
  <si>
    <t>Шарнир D5</t>
  </si>
  <si>
    <t>Шарнир D4</t>
  </si>
  <si>
    <t>(Sx)D=</t>
  </si>
  <si>
    <t>(Sy)D=</t>
  </si>
  <si>
    <t>(Rx)G=</t>
  </si>
  <si>
    <t>(RY)G=</t>
  </si>
  <si>
    <t>(Px)G=</t>
  </si>
  <si>
    <t>(PY)G=</t>
  </si>
  <si>
    <t>W(G)=</t>
  </si>
  <si>
    <t>(Rx)B3=</t>
  </si>
  <si>
    <t>W</t>
  </si>
  <si>
    <t>Nx</t>
  </si>
  <si>
    <t>Ny</t>
  </si>
  <si>
    <t>Sx</t>
  </si>
  <si>
    <t>Sy</t>
  </si>
  <si>
    <t>364/372</t>
  </si>
  <si>
    <t>333/340</t>
  </si>
  <si>
    <t>301/310</t>
  </si>
  <si>
    <t>СИЛЫ И МОЩНОСТИ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</si>
</sst>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[$-FC19]d\ mmmm\ yyyy\ &quot;г.&quot;"/>
    <numFmt numFmtId="168" formatCode="#,##0_р_.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53"/>
      <name val="Arial Cyr"/>
      <family val="0"/>
    </font>
    <font>
      <sz val="12"/>
      <color indexed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20"/>
      <name val="Arial Cyr"/>
      <family val="0"/>
    </font>
    <font>
      <sz val="11"/>
      <color indexed="20"/>
      <name val="Arial Cyr"/>
      <family val="0"/>
    </font>
    <font>
      <b/>
      <sz val="10"/>
      <color indexed="10"/>
      <name val="Arial Cyr"/>
      <family val="0"/>
    </font>
    <font>
      <sz val="24"/>
      <color indexed="8"/>
      <name val="Arial"/>
      <family val="0"/>
    </font>
    <font>
      <i/>
      <sz val="2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14"/>
      <name val="Arial Cyr"/>
      <family val="0"/>
    </font>
    <font>
      <b/>
      <i/>
      <sz val="10"/>
      <color indexed="14"/>
      <name val="Arial Cyr"/>
      <family val="0"/>
    </font>
    <font>
      <b/>
      <sz val="11"/>
      <color indexed="20"/>
      <name val="Arial Cyr"/>
      <family val="0"/>
    </font>
    <font>
      <b/>
      <sz val="11"/>
      <color indexed="20"/>
      <name val="Arial"/>
      <family val="2"/>
    </font>
    <font>
      <b/>
      <sz val="10"/>
      <color indexed="20"/>
      <name val="Arial Cyr"/>
      <family val="0"/>
    </font>
    <font>
      <b/>
      <sz val="11"/>
      <color indexed="10"/>
      <name val="Arial Cyr"/>
      <family val="0"/>
    </font>
    <font>
      <b/>
      <sz val="12"/>
      <color indexed="61"/>
      <name val="Arial Cyr"/>
      <family val="0"/>
    </font>
    <font>
      <sz val="18"/>
      <color indexed="8"/>
      <name val="Tahoma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0"/>
      <color indexed="10"/>
      <name val="Arial Cyr"/>
      <family val="0"/>
    </font>
    <font>
      <b/>
      <sz val="20"/>
      <color indexed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1"/>
      <color indexed="12"/>
      <name val="Arial Cyr"/>
      <family val="0"/>
    </font>
    <font>
      <sz val="14"/>
      <name val="Arial Cyr"/>
      <family val="0"/>
    </font>
    <font>
      <b/>
      <sz val="12"/>
      <color indexed="57"/>
      <name val="Arial Cyr"/>
      <family val="0"/>
    </font>
    <font>
      <b/>
      <sz val="12"/>
      <color indexed="17"/>
      <name val="Arial Cyr"/>
      <family val="0"/>
    </font>
    <font>
      <b/>
      <sz val="11"/>
      <color indexed="17"/>
      <name val="Arial Cyr"/>
      <family val="0"/>
    </font>
    <font>
      <sz val="11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sz val="10.5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2" fontId="4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4" fillId="0" borderId="0" xfId="0" applyNumberFormat="1" applyFont="1" applyFill="1" applyBorder="1" applyAlignment="1" quotePrefix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2" fontId="4" fillId="3" borderId="0" xfId="0" applyNumberFormat="1" applyFont="1" applyFill="1" applyBorder="1" applyAlignment="1">
      <alignment/>
    </xf>
    <xf numFmtId="2" fontId="8" fillId="4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18" fillId="5" borderId="6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8" fillId="5" borderId="13" xfId="0" applyNumberFormat="1" applyFont="1" applyFill="1" applyBorder="1" applyAlignment="1">
      <alignment horizontal="center"/>
    </xf>
    <xf numFmtId="2" fontId="18" fillId="5" borderId="2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2" xfId="0" applyFont="1" applyFill="1" applyBorder="1" applyAlignment="1">
      <alignment/>
    </xf>
    <xf numFmtId="2" fontId="18" fillId="2" borderId="10" xfId="0" applyNumberFormat="1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0" fontId="18" fillId="5" borderId="0" xfId="0" applyFont="1" applyFill="1" applyAlignment="1">
      <alignment/>
    </xf>
    <xf numFmtId="2" fontId="18" fillId="0" borderId="2" xfId="0" applyNumberFormat="1" applyFont="1" applyFill="1" applyBorder="1" applyAlignment="1">
      <alignment/>
    </xf>
    <xf numFmtId="0" fontId="20" fillId="0" borderId="9" xfId="0" applyFont="1" applyFill="1" applyBorder="1" applyAlignment="1">
      <alignment horizontal="left"/>
    </xf>
    <xf numFmtId="2" fontId="18" fillId="5" borderId="2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left"/>
    </xf>
    <xf numFmtId="0" fontId="18" fillId="0" borderId="4" xfId="0" applyFont="1" applyBorder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8" fillId="0" borderId="18" xfId="0" applyFont="1" applyFill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2" fontId="18" fillId="2" borderId="9" xfId="0" applyNumberFormat="1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25" fillId="6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2" fontId="12" fillId="0" borderId="0" xfId="0" applyNumberFormat="1" applyFont="1" applyBorder="1" applyAlignment="1">
      <alignment horizontal="center"/>
    </xf>
    <xf numFmtId="2" fontId="9" fillId="0" borderId="0" xfId="0" applyNumberFormat="1" applyFont="1" applyFill="1" applyAlignment="1">
      <alignment/>
    </xf>
    <xf numFmtId="2" fontId="21" fillId="0" borderId="16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1" fontId="18" fillId="0" borderId="11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0" fontId="18" fillId="7" borderId="0" xfId="0" applyFont="1" applyFill="1" applyBorder="1" applyAlignment="1">
      <alignment/>
    </xf>
    <xf numFmtId="0" fontId="18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0" applyNumberFormat="1" applyFont="1" applyFill="1" applyBorder="1" applyAlignment="1">
      <alignment/>
    </xf>
    <xf numFmtId="2" fontId="31" fillId="0" borderId="3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5" fillId="0" borderId="0" xfId="0" applyFont="1" applyAlignment="1">
      <alignment/>
    </xf>
    <xf numFmtId="2" fontId="33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1" fontId="37" fillId="0" borderId="0" xfId="0" applyNumberFormat="1" applyFont="1" applyFill="1" applyAlignment="1">
      <alignment/>
    </xf>
    <xf numFmtId="1" fontId="37" fillId="0" borderId="3" xfId="0" applyNumberFormat="1" applyFont="1" applyFill="1" applyBorder="1" applyAlignment="1">
      <alignment/>
    </xf>
    <xf numFmtId="168" fontId="38" fillId="0" borderId="0" xfId="0" applyNumberFormat="1" applyFont="1" applyFill="1" applyBorder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32" fillId="0" borderId="17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3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2" fontId="41" fillId="0" borderId="0" xfId="0" applyNumberFormat="1" applyFont="1" applyFill="1" applyAlignment="1">
      <alignment/>
    </xf>
    <xf numFmtId="2" fontId="4" fillId="0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2" fontId="18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0" fontId="16" fillId="0" borderId="9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Расчет!$A$434</c:f>
              <c:strCache>
                <c:ptCount val="1"/>
                <c:pt idx="0">
                  <c:v>W(sum)=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Расчет!$B$434:$IV$434</c:f>
              <c:numCache/>
            </c:numRef>
          </c:val>
          <c:smooth val="0"/>
        </c:ser>
        <c:ser>
          <c:idx val="1"/>
          <c:order val="1"/>
          <c:tx>
            <c:strRef>
              <c:f>Расчет!$A$435</c:f>
              <c:strCache>
                <c:ptCount val="1"/>
                <c:pt idx="0">
                  <c:v>M(W)=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Расчет!$B$435:$IV$435</c:f>
              <c:numCache/>
            </c:numRef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14435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Расчет!$A$438</c:f>
              <c:strCache>
                <c:ptCount val="1"/>
                <c:pt idx="0">
                  <c:v>С1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Расчет!$B$438:$IV$438</c:f>
              <c:numCache/>
            </c:numRef>
          </c:val>
          <c:smooth val="0"/>
        </c:ser>
        <c:ser>
          <c:idx val="1"/>
          <c:order val="1"/>
          <c:tx>
            <c:strRef>
              <c:f>Расчет!$A$439</c:f>
              <c:strCache>
                <c:ptCount val="1"/>
                <c:pt idx="0">
                  <c:v>С2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Расчет!$B$439:$IV$439</c:f>
              <c:numCache/>
            </c:numRef>
          </c:val>
          <c:smooth val="0"/>
        </c:ser>
        <c:ser>
          <c:idx val="2"/>
          <c:order val="2"/>
          <c:tx>
            <c:strRef>
              <c:f>Расчет!$A$440</c:f>
              <c:strCache>
                <c:ptCount val="1"/>
                <c:pt idx="0">
                  <c:v>С3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Расчет!$B$440:$IV$440</c:f>
              <c:numCache/>
            </c:numRef>
          </c:val>
          <c:smooth val="0"/>
        </c:ser>
        <c:ser>
          <c:idx val="3"/>
          <c:order val="3"/>
          <c:tx>
            <c:strRef>
              <c:f>Расчет!$A$441</c:f>
              <c:strCache>
                <c:ptCount val="1"/>
                <c:pt idx="0">
                  <c:v>С4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Расчет!$B$441:$IV$441</c:f>
              <c:numCache/>
            </c:numRef>
          </c:val>
          <c:smooth val="0"/>
        </c:ser>
        <c:ser>
          <c:idx val="4"/>
          <c:order val="4"/>
          <c:tx>
            <c:strRef>
              <c:f>Расчет!$A$442</c:f>
              <c:strCache>
                <c:ptCount val="1"/>
                <c:pt idx="0">
                  <c:v>С5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Расчет!$B$442:$IV$442</c:f>
              <c:numCache/>
            </c:numRef>
          </c:val>
          <c:smooth val="0"/>
        </c:ser>
        <c:ser>
          <c:idx val="5"/>
          <c:order val="5"/>
          <c:tx>
            <c:strRef>
              <c:f>Расчет!$A$443</c:f>
              <c:strCache>
                <c:ptCount val="1"/>
                <c:pt idx="0">
                  <c:v>T5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Расчет!$B$443:$IV$443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Расчет!$A$445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Расчет!$B$445:$IV$445</c:f>
              <c:numCache/>
            </c:numRef>
          </c:val>
          <c:smooth val="0"/>
        </c:ser>
        <c:ser>
          <c:idx val="1"/>
          <c:order val="1"/>
          <c:tx>
            <c:strRef>
              <c:f>Расчет!$A$446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Расчет!$B$446:$IV$446</c:f>
              <c:numCache/>
            </c:numRef>
          </c:val>
          <c:smooth val="0"/>
        </c:ser>
        <c:ser>
          <c:idx val="2"/>
          <c:order val="2"/>
          <c:tx>
            <c:strRef>
              <c:f>Расчет!$A$447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Расчет!$B$447:$IV$447</c:f>
              <c:numCache/>
            </c:numRef>
          </c:val>
          <c:smooth val="0"/>
        </c:ser>
        <c:ser>
          <c:idx val="3"/>
          <c:order val="3"/>
          <c:tx>
            <c:strRef>
              <c:f>Расчет!$A$448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Расчет!$B$448:$IV$448</c:f>
              <c:numCache/>
            </c:numRef>
          </c:val>
          <c:smooth val="0"/>
        </c:ser>
        <c:ser>
          <c:idx val="4"/>
          <c:order val="4"/>
          <c:tx>
            <c:strRef>
              <c:f>Расчет!$A$449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Расчет!$B$449:$IV$449</c:f>
              <c:numCache/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1162050</xdr:colOff>
      <xdr:row>23</xdr:row>
      <xdr:rowOff>57150</xdr:rowOff>
    </xdr:from>
    <xdr:to>
      <xdr:col>7</xdr:col>
      <xdr:colOff>142875</xdr:colOff>
      <xdr:row>25</xdr:row>
      <xdr:rowOff>133350</xdr:rowOff>
    </xdr:to>
    <xdr:sp>
      <xdr:nvSpPr>
        <xdr:cNvPr id="1" name="AutoShape 23"/>
        <xdr:cNvSpPr>
          <a:spLocks noChangeAspect="1"/>
        </xdr:cNvSpPr>
      </xdr:nvSpPr>
      <xdr:spPr>
        <a:xfrm rot="16903707">
          <a:off x="7600950" y="3914775"/>
          <a:ext cx="247650" cy="400050"/>
        </a:xfrm>
        <a:prstGeom prst="blockArc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1066800</xdr:colOff>
      <xdr:row>34</xdr:row>
      <xdr:rowOff>76200</xdr:rowOff>
    </xdr:to>
    <xdr:grpSp>
      <xdr:nvGrpSpPr>
        <xdr:cNvPr id="2" name="Group 24"/>
        <xdr:cNvGrpSpPr>
          <a:grpSpLocks/>
        </xdr:cNvGrpSpPr>
      </xdr:nvGrpSpPr>
      <xdr:grpSpPr>
        <a:xfrm>
          <a:off x="1371600" y="0"/>
          <a:ext cx="8667750" cy="5848350"/>
          <a:chOff x="0" y="0"/>
          <a:chExt cx="819" cy="614"/>
        </a:xfrm>
        <a:solidFill>
          <a:srgbClr val="FFFFFF"/>
        </a:solidFill>
      </xdr:grpSpPr>
      <xdr:grpSp>
        <xdr:nvGrpSpPr>
          <xdr:cNvPr id="4" name="Group 26"/>
          <xdr:cNvGrpSpPr>
            <a:grpSpLocks/>
          </xdr:cNvGrpSpPr>
        </xdr:nvGrpSpPr>
        <xdr:grpSpPr>
          <a:xfrm>
            <a:off x="98" y="0"/>
            <a:ext cx="590" cy="602"/>
            <a:chOff x="703" y="436"/>
            <a:chExt cx="3538" cy="3448"/>
          </a:xfrm>
          <a:solidFill>
            <a:srgbClr val="FFFFFF"/>
          </a:solidFill>
        </xdr:grpSpPr>
        <xdr:sp>
          <xdr:nvSpPr>
            <xdr:cNvPr id="5" name="AutoShape 27"/>
            <xdr:cNvSpPr>
              <a:spLocks/>
            </xdr:cNvSpPr>
          </xdr:nvSpPr>
          <xdr:spPr>
            <a:xfrm>
              <a:off x="703" y="3884"/>
              <a:ext cx="35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AutoShape 28"/>
            <xdr:cNvSpPr>
              <a:spLocks/>
            </xdr:cNvSpPr>
          </xdr:nvSpPr>
          <xdr:spPr>
            <a:xfrm flipV="1">
              <a:off x="703" y="436"/>
              <a:ext cx="0" cy="34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8" name="AutoShape 30"/>
          <xdr:cNvSpPr>
            <a:spLocks/>
          </xdr:cNvSpPr>
        </xdr:nvSpPr>
        <xdr:spPr>
          <a:xfrm flipV="1">
            <a:off x="98" y="413"/>
            <a:ext cx="84" cy="189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31"/>
          <xdr:cNvSpPr>
            <a:spLocks/>
          </xdr:cNvSpPr>
        </xdr:nvSpPr>
        <xdr:spPr>
          <a:xfrm flipV="1">
            <a:off x="182" y="269"/>
            <a:ext cx="446" cy="1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34"/>
          <xdr:cNvSpPr>
            <a:spLocks/>
          </xdr:cNvSpPr>
        </xdr:nvSpPr>
        <xdr:spPr>
          <a:xfrm flipH="1">
            <a:off x="583" y="269"/>
            <a:ext cx="45" cy="23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35"/>
          <xdr:cNvSpPr>
            <a:spLocks/>
          </xdr:cNvSpPr>
        </xdr:nvSpPr>
        <xdr:spPr>
          <a:xfrm>
            <a:off x="374" y="539"/>
            <a:ext cx="45" cy="23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41"/>
          <xdr:cNvSpPr>
            <a:spLocks noChangeAspect="1"/>
          </xdr:cNvSpPr>
        </xdr:nvSpPr>
        <xdr:spPr>
          <a:xfrm>
            <a:off x="91" y="594"/>
            <a:ext cx="16" cy="1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42"/>
          <xdr:cNvSpPr>
            <a:spLocks noChangeAspect="1"/>
          </xdr:cNvSpPr>
        </xdr:nvSpPr>
        <xdr:spPr>
          <a:xfrm>
            <a:off x="174" y="404"/>
            <a:ext cx="15" cy="1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43"/>
          <xdr:cNvSpPr>
            <a:spLocks noChangeAspect="1"/>
          </xdr:cNvSpPr>
        </xdr:nvSpPr>
        <xdr:spPr>
          <a:xfrm>
            <a:off x="620" y="262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44"/>
          <xdr:cNvSpPr>
            <a:spLocks noChangeAspect="1"/>
          </xdr:cNvSpPr>
        </xdr:nvSpPr>
        <xdr:spPr>
          <a:xfrm>
            <a:off x="575" y="489"/>
            <a:ext cx="17" cy="1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7</xdr:col>
      <xdr:colOff>428625</xdr:colOff>
      <xdr:row>14</xdr:row>
      <xdr:rowOff>123825</xdr:rowOff>
    </xdr:from>
    <xdr:ext cx="238125" cy="200025"/>
    <xdr:sp>
      <xdr:nvSpPr>
        <xdr:cNvPr id="24" name="TextBox 46"/>
        <xdr:cNvSpPr txBox="1">
          <a:spLocks noChangeArrowheads="1"/>
        </xdr:cNvSpPr>
      </xdr:nvSpPr>
      <xdr:spPr>
        <a:xfrm>
          <a:off x="8134350" y="25241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1в</a:t>
          </a:r>
        </a:p>
      </xdr:txBody>
    </xdr:sp>
    <xdr:clientData/>
  </xdr:oneCellAnchor>
  <xdr:oneCellAnchor>
    <xdr:from>
      <xdr:col>6</xdr:col>
      <xdr:colOff>1000125</xdr:colOff>
      <xdr:row>28</xdr:row>
      <xdr:rowOff>123825</xdr:rowOff>
    </xdr:from>
    <xdr:ext cx="238125" cy="200025"/>
    <xdr:sp>
      <xdr:nvSpPr>
        <xdr:cNvPr id="25" name="TextBox 47"/>
        <xdr:cNvSpPr txBox="1">
          <a:spLocks noChangeArrowheads="1"/>
        </xdr:cNvSpPr>
      </xdr:nvSpPr>
      <xdr:spPr>
        <a:xfrm>
          <a:off x="7439025" y="4924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1в</a:t>
          </a:r>
        </a:p>
      </xdr:txBody>
    </xdr:sp>
    <xdr:clientData/>
  </xdr:oneCellAnchor>
  <xdr:oneCellAnchor>
    <xdr:from>
      <xdr:col>3</xdr:col>
      <xdr:colOff>685800</xdr:colOff>
      <xdr:row>23</xdr:row>
      <xdr:rowOff>104775</xdr:rowOff>
    </xdr:from>
    <xdr:ext cx="238125" cy="200025"/>
    <xdr:sp>
      <xdr:nvSpPr>
        <xdr:cNvPr id="26" name="TextBox 48"/>
        <xdr:cNvSpPr txBox="1">
          <a:spLocks noChangeArrowheads="1"/>
        </xdr:cNvSpPr>
      </xdr:nvSpPr>
      <xdr:spPr>
        <a:xfrm>
          <a:off x="3324225" y="39624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1в</a:t>
          </a:r>
        </a:p>
      </xdr:txBody>
    </xdr:sp>
    <xdr:clientData/>
  </xdr:oneCellAnchor>
  <xdr:oneCellAnchor>
    <xdr:from>
      <xdr:col>2</xdr:col>
      <xdr:colOff>1190625</xdr:colOff>
      <xdr:row>32</xdr:row>
      <xdr:rowOff>152400</xdr:rowOff>
    </xdr:from>
    <xdr:ext cx="238125" cy="200025"/>
    <xdr:sp>
      <xdr:nvSpPr>
        <xdr:cNvPr id="27" name="TextBox 49"/>
        <xdr:cNvSpPr txBox="1">
          <a:spLocks noChangeArrowheads="1"/>
        </xdr:cNvSpPr>
      </xdr:nvSpPr>
      <xdr:spPr>
        <a:xfrm>
          <a:off x="2562225" y="56007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1в</a:t>
          </a:r>
        </a:p>
      </xdr:txBody>
    </xdr:sp>
    <xdr:clientData/>
  </xdr:oneCellAnchor>
  <xdr:oneCellAnchor>
    <xdr:from>
      <xdr:col>5</xdr:col>
      <xdr:colOff>323850</xdr:colOff>
      <xdr:row>26</xdr:row>
      <xdr:rowOff>76200</xdr:rowOff>
    </xdr:from>
    <xdr:ext cx="238125" cy="200025"/>
    <xdr:sp>
      <xdr:nvSpPr>
        <xdr:cNvPr id="28" name="TextBox 50"/>
        <xdr:cNvSpPr txBox="1">
          <a:spLocks noChangeArrowheads="1"/>
        </xdr:cNvSpPr>
      </xdr:nvSpPr>
      <xdr:spPr>
        <a:xfrm>
          <a:off x="5495925" y="44196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1в</a:t>
          </a:r>
        </a:p>
      </xdr:txBody>
    </xdr:sp>
    <xdr:clientData/>
  </xdr:oneCellAnchor>
  <xdr:oneCellAnchor>
    <xdr:from>
      <xdr:col>7</xdr:col>
      <xdr:colOff>552450</xdr:colOff>
      <xdr:row>34</xdr:row>
      <xdr:rowOff>85725</xdr:rowOff>
    </xdr:from>
    <xdr:ext cx="295275" cy="371475"/>
    <xdr:sp>
      <xdr:nvSpPr>
        <xdr:cNvPr id="29" name="TextBox 51"/>
        <xdr:cNvSpPr txBox="1">
          <a:spLocks noChangeArrowheads="1"/>
        </xdr:cNvSpPr>
      </xdr:nvSpPr>
      <xdr:spPr>
        <a:xfrm>
          <a:off x="8258175" y="5857875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 Cyr"/>
              <a:ea typeface="Arial Cyr"/>
              <a:cs typeface="Arial Cyr"/>
            </a:rPr>
            <a:t>х</a:t>
          </a:r>
        </a:p>
      </xdr:txBody>
    </xdr:sp>
    <xdr:clientData/>
  </xdr:oneCellAnchor>
  <xdr:oneCellAnchor>
    <xdr:from>
      <xdr:col>2</xdr:col>
      <xdr:colOff>695325</xdr:colOff>
      <xdr:row>0</xdr:row>
      <xdr:rowOff>76200</xdr:rowOff>
    </xdr:from>
    <xdr:ext cx="295275" cy="371475"/>
    <xdr:sp>
      <xdr:nvSpPr>
        <xdr:cNvPr id="30" name="TextBox 52"/>
        <xdr:cNvSpPr txBox="1">
          <a:spLocks noChangeArrowheads="1"/>
        </xdr:cNvSpPr>
      </xdr:nvSpPr>
      <xdr:spPr>
        <a:xfrm>
          <a:off x="2066925" y="762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 Cyr"/>
              <a:ea typeface="Arial Cyr"/>
              <a:cs typeface="Arial Cyr"/>
            </a:rPr>
            <a:t>у</a:t>
          </a:r>
        </a:p>
      </xdr:txBody>
    </xdr:sp>
    <xdr:clientData/>
  </xdr:oneCellAnchor>
  <xdr:twoCellAnchor>
    <xdr:from>
      <xdr:col>3</xdr:col>
      <xdr:colOff>609600</xdr:colOff>
      <xdr:row>23</xdr:row>
      <xdr:rowOff>0</xdr:rowOff>
    </xdr:from>
    <xdr:to>
      <xdr:col>4</xdr:col>
      <xdr:colOff>323850</xdr:colOff>
      <xdr:row>23</xdr:row>
      <xdr:rowOff>28575</xdr:rowOff>
    </xdr:to>
    <xdr:sp>
      <xdr:nvSpPr>
        <xdr:cNvPr id="31" name="Line 53"/>
        <xdr:cNvSpPr>
          <a:spLocks/>
        </xdr:cNvSpPr>
      </xdr:nvSpPr>
      <xdr:spPr>
        <a:xfrm flipV="1">
          <a:off x="3248025" y="3857625"/>
          <a:ext cx="9810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15</xdr:row>
      <xdr:rowOff>152400</xdr:rowOff>
    </xdr:from>
    <xdr:to>
      <xdr:col>3</xdr:col>
      <xdr:colOff>66675</xdr:colOff>
      <xdr:row>26</xdr:row>
      <xdr:rowOff>85725</xdr:rowOff>
    </xdr:to>
    <xdr:sp>
      <xdr:nvSpPr>
        <xdr:cNvPr id="32" name="Line 54"/>
        <xdr:cNvSpPr>
          <a:spLocks/>
        </xdr:cNvSpPr>
      </xdr:nvSpPr>
      <xdr:spPr>
        <a:xfrm>
          <a:off x="2066925" y="2714625"/>
          <a:ext cx="6381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28575</xdr:rowOff>
    </xdr:from>
    <xdr:to>
      <xdr:col>4</xdr:col>
      <xdr:colOff>676275</xdr:colOff>
      <xdr:row>18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4143375" y="1809750"/>
          <a:ext cx="4381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238125</xdr:colOff>
      <xdr:row>13</xdr:row>
      <xdr:rowOff>76200</xdr:rowOff>
    </xdr:from>
    <xdr:to>
      <xdr:col>8</xdr:col>
      <xdr:colOff>276225</xdr:colOff>
      <xdr:row>22</xdr:row>
      <xdr:rowOff>152400</xdr:rowOff>
    </xdr:to>
    <xdr:sp>
      <xdr:nvSpPr>
        <xdr:cNvPr id="34" name="Line 56"/>
        <xdr:cNvSpPr>
          <a:spLocks/>
        </xdr:cNvSpPr>
      </xdr:nvSpPr>
      <xdr:spPr>
        <a:xfrm flipH="1">
          <a:off x="7943850" y="2314575"/>
          <a:ext cx="13049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25</xdr:row>
      <xdr:rowOff>114300</xdr:rowOff>
    </xdr:from>
    <xdr:to>
      <xdr:col>5</xdr:col>
      <xdr:colOff>552450</xdr:colOff>
      <xdr:row>31</xdr:row>
      <xdr:rowOff>76200</xdr:rowOff>
    </xdr:to>
    <xdr:sp>
      <xdr:nvSpPr>
        <xdr:cNvPr id="35" name="Line 57"/>
        <xdr:cNvSpPr>
          <a:spLocks/>
        </xdr:cNvSpPr>
      </xdr:nvSpPr>
      <xdr:spPr>
        <a:xfrm>
          <a:off x="5334000" y="4295775"/>
          <a:ext cx="390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752475</xdr:colOff>
      <xdr:row>36</xdr:row>
      <xdr:rowOff>9525</xdr:rowOff>
    </xdr:from>
    <xdr:ext cx="276225" cy="333375"/>
    <xdr:sp>
      <xdr:nvSpPr>
        <xdr:cNvPr id="36" name="TextBox 58"/>
        <xdr:cNvSpPr txBox="1">
          <a:spLocks noChangeArrowheads="1"/>
        </xdr:cNvSpPr>
      </xdr:nvSpPr>
      <xdr:spPr>
        <a:xfrm>
          <a:off x="7191375" y="61055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oneCellAnchor>
  <xdr:oneCellAnchor>
    <xdr:from>
      <xdr:col>8</xdr:col>
      <xdr:colOff>285750</xdr:colOff>
      <xdr:row>12</xdr:row>
      <xdr:rowOff>190500</xdr:rowOff>
    </xdr:from>
    <xdr:ext cx="276225" cy="333375"/>
    <xdr:sp>
      <xdr:nvSpPr>
        <xdr:cNvPr id="37" name="TextBox 59"/>
        <xdr:cNvSpPr txBox="1">
          <a:spLocks noChangeArrowheads="1"/>
        </xdr:cNvSpPr>
      </xdr:nvSpPr>
      <xdr:spPr>
        <a:xfrm>
          <a:off x="9258300" y="2133600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oneCellAnchor>
  <xdr:twoCellAnchor>
    <xdr:from>
      <xdr:col>6</xdr:col>
      <xdr:colOff>447675</xdr:colOff>
      <xdr:row>29</xdr:row>
      <xdr:rowOff>66675</xdr:rowOff>
    </xdr:from>
    <xdr:to>
      <xdr:col>6</xdr:col>
      <xdr:colOff>914400</xdr:colOff>
      <xdr:row>36</xdr:row>
      <xdr:rowOff>57150</xdr:rowOff>
    </xdr:to>
    <xdr:sp>
      <xdr:nvSpPr>
        <xdr:cNvPr id="38" name="Line 60"/>
        <xdr:cNvSpPr>
          <a:spLocks/>
        </xdr:cNvSpPr>
      </xdr:nvSpPr>
      <xdr:spPr>
        <a:xfrm flipH="1" flipV="1">
          <a:off x="6886575" y="5029200"/>
          <a:ext cx="4667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142875</xdr:colOff>
      <xdr:row>9</xdr:row>
      <xdr:rowOff>85725</xdr:rowOff>
    </xdr:from>
    <xdr:ext cx="276225" cy="333375"/>
    <xdr:sp>
      <xdr:nvSpPr>
        <xdr:cNvPr id="39" name="TextBox 61"/>
        <xdr:cNvSpPr txBox="1">
          <a:spLocks noChangeArrowheads="1"/>
        </xdr:cNvSpPr>
      </xdr:nvSpPr>
      <xdr:spPr>
        <a:xfrm>
          <a:off x="4048125" y="1543050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2</xdr:col>
      <xdr:colOff>638175</xdr:colOff>
      <xdr:row>14</xdr:row>
      <xdr:rowOff>133350</xdr:rowOff>
    </xdr:from>
    <xdr:ext cx="276225" cy="333375"/>
    <xdr:sp>
      <xdr:nvSpPr>
        <xdr:cNvPr id="40" name="TextBox 62"/>
        <xdr:cNvSpPr txBox="1">
          <a:spLocks noChangeArrowheads="1"/>
        </xdr:cNvSpPr>
      </xdr:nvSpPr>
      <xdr:spPr>
        <a:xfrm>
          <a:off x="2009775" y="2533650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5</xdr:col>
      <xdr:colOff>9525</xdr:colOff>
      <xdr:row>23</xdr:row>
      <xdr:rowOff>95250</xdr:rowOff>
    </xdr:from>
    <xdr:ext cx="276225" cy="333375"/>
    <xdr:sp>
      <xdr:nvSpPr>
        <xdr:cNvPr id="41" name="TextBox 63"/>
        <xdr:cNvSpPr txBox="1">
          <a:spLocks noChangeArrowheads="1"/>
        </xdr:cNvSpPr>
      </xdr:nvSpPr>
      <xdr:spPr>
        <a:xfrm>
          <a:off x="5181600" y="395287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oneCellAnchor>
  <xdr:twoCellAnchor>
    <xdr:from>
      <xdr:col>6</xdr:col>
      <xdr:colOff>714375</xdr:colOff>
      <xdr:row>14</xdr:row>
      <xdr:rowOff>133350</xdr:rowOff>
    </xdr:from>
    <xdr:to>
      <xdr:col>7</xdr:col>
      <xdr:colOff>352425</xdr:colOff>
      <xdr:row>14</xdr:row>
      <xdr:rowOff>133350</xdr:rowOff>
    </xdr:to>
    <xdr:sp>
      <xdr:nvSpPr>
        <xdr:cNvPr id="42" name="Line 64"/>
        <xdr:cNvSpPr>
          <a:spLocks/>
        </xdr:cNvSpPr>
      </xdr:nvSpPr>
      <xdr:spPr>
        <a:xfrm flipH="1">
          <a:off x="7153275" y="25336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66675</xdr:colOff>
      <xdr:row>21</xdr:row>
      <xdr:rowOff>66675</xdr:rowOff>
    </xdr:from>
    <xdr:ext cx="314325" cy="333375"/>
    <xdr:sp>
      <xdr:nvSpPr>
        <xdr:cNvPr id="43" name="TextBox 65"/>
        <xdr:cNvSpPr txBox="1">
          <a:spLocks noChangeArrowheads="1"/>
        </xdr:cNvSpPr>
      </xdr:nvSpPr>
      <xdr:spPr>
        <a:xfrm>
          <a:off x="3971925" y="360045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ψ</a:t>
          </a:r>
        </a:p>
      </xdr:txBody>
    </xdr:sp>
    <xdr:clientData/>
  </xdr:oneCellAnchor>
  <xdr:oneCellAnchor>
    <xdr:from>
      <xdr:col>6</xdr:col>
      <xdr:colOff>695325</xdr:colOff>
      <xdr:row>14</xdr:row>
      <xdr:rowOff>95250</xdr:rowOff>
    </xdr:from>
    <xdr:ext cx="314325" cy="333375"/>
    <xdr:sp>
      <xdr:nvSpPr>
        <xdr:cNvPr id="44" name="TextBox 66"/>
        <xdr:cNvSpPr txBox="1">
          <a:spLocks noChangeArrowheads="1"/>
        </xdr:cNvSpPr>
      </xdr:nvSpPr>
      <xdr:spPr>
        <a:xfrm>
          <a:off x="7134225" y="249555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ψ</a:t>
          </a:r>
        </a:p>
      </xdr:txBody>
    </xdr:sp>
    <xdr:clientData/>
  </xdr:oneCellAnchor>
  <xdr:oneCellAnchor>
    <xdr:from>
      <xdr:col>2</xdr:col>
      <xdr:colOff>1257300</xdr:colOff>
      <xdr:row>31</xdr:row>
      <xdr:rowOff>95250</xdr:rowOff>
    </xdr:from>
    <xdr:ext cx="314325" cy="333375"/>
    <xdr:sp>
      <xdr:nvSpPr>
        <xdr:cNvPr id="45" name="TextBox 67"/>
        <xdr:cNvSpPr txBox="1">
          <a:spLocks noChangeArrowheads="1"/>
        </xdr:cNvSpPr>
      </xdr:nvSpPr>
      <xdr:spPr>
        <a:xfrm>
          <a:off x="2628900" y="5381625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φ</a:t>
          </a:r>
        </a:p>
      </xdr:txBody>
    </xdr:sp>
    <xdr:clientData/>
  </xdr:oneCellAnchor>
  <xdr:twoCellAnchor>
    <xdr:from>
      <xdr:col>6</xdr:col>
      <xdr:colOff>1247775</xdr:colOff>
      <xdr:row>24</xdr:row>
      <xdr:rowOff>9525</xdr:rowOff>
    </xdr:from>
    <xdr:to>
      <xdr:col>7</xdr:col>
      <xdr:colOff>57150</xdr:colOff>
      <xdr:row>25</xdr:row>
      <xdr:rowOff>19050</xdr:rowOff>
    </xdr:to>
    <xdr:sp>
      <xdr:nvSpPr>
        <xdr:cNvPr id="46" name="AutoShape 68"/>
        <xdr:cNvSpPr>
          <a:spLocks noChangeAspect="1"/>
        </xdr:cNvSpPr>
      </xdr:nvSpPr>
      <xdr:spPr>
        <a:xfrm>
          <a:off x="7686675" y="4029075"/>
          <a:ext cx="76200" cy="1714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85725</xdr:rowOff>
    </xdr:from>
    <xdr:to>
      <xdr:col>7</xdr:col>
      <xdr:colOff>276225</xdr:colOff>
      <xdr:row>24</xdr:row>
      <xdr:rowOff>19050</xdr:rowOff>
    </xdr:to>
    <xdr:sp>
      <xdr:nvSpPr>
        <xdr:cNvPr id="47" name="Line 69"/>
        <xdr:cNvSpPr>
          <a:spLocks/>
        </xdr:cNvSpPr>
      </xdr:nvSpPr>
      <xdr:spPr>
        <a:xfrm flipV="1">
          <a:off x="7724775" y="3943350"/>
          <a:ext cx="24765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152400</xdr:rowOff>
    </xdr:from>
    <xdr:to>
      <xdr:col>7</xdr:col>
      <xdr:colOff>295275</xdr:colOff>
      <xdr:row>25</xdr:row>
      <xdr:rowOff>152400</xdr:rowOff>
    </xdr:to>
    <xdr:sp>
      <xdr:nvSpPr>
        <xdr:cNvPr id="48" name="Line 70"/>
        <xdr:cNvSpPr>
          <a:spLocks/>
        </xdr:cNvSpPr>
      </xdr:nvSpPr>
      <xdr:spPr>
        <a:xfrm>
          <a:off x="7715250" y="4171950"/>
          <a:ext cx="2857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23</xdr:row>
      <xdr:rowOff>19050</xdr:rowOff>
    </xdr:from>
    <xdr:to>
      <xdr:col>7</xdr:col>
      <xdr:colOff>295275</xdr:colOff>
      <xdr:row>26</xdr:row>
      <xdr:rowOff>28575</xdr:rowOff>
    </xdr:to>
    <xdr:sp>
      <xdr:nvSpPr>
        <xdr:cNvPr id="49" name="Line 71"/>
        <xdr:cNvSpPr>
          <a:spLocks/>
        </xdr:cNvSpPr>
      </xdr:nvSpPr>
      <xdr:spPr>
        <a:xfrm>
          <a:off x="7991475" y="3876675"/>
          <a:ext cx="9525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800100</xdr:colOff>
      <xdr:row>34</xdr:row>
      <xdr:rowOff>0</xdr:rowOff>
    </xdr:from>
    <xdr:to>
      <xdr:col>2</xdr:col>
      <xdr:colOff>990600</xdr:colOff>
      <xdr:row>35</xdr:row>
      <xdr:rowOff>57150</xdr:rowOff>
    </xdr:to>
    <xdr:sp>
      <xdr:nvSpPr>
        <xdr:cNvPr id="50" name="Line 72"/>
        <xdr:cNvSpPr>
          <a:spLocks/>
        </xdr:cNvSpPr>
      </xdr:nvSpPr>
      <xdr:spPr>
        <a:xfrm flipH="1">
          <a:off x="2171700" y="5772150"/>
          <a:ext cx="2000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1143000</xdr:colOff>
      <xdr:row>34</xdr:row>
      <xdr:rowOff>9525</xdr:rowOff>
    </xdr:from>
    <xdr:to>
      <xdr:col>2</xdr:col>
      <xdr:colOff>1266825</xdr:colOff>
      <xdr:row>35</xdr:row>
      <xdr:rowOff>38100</xdr:rowOff>
    </xdr:to>
    <xdr:sp>
      <xdr:nvSpPr>
        <xdr:cNvPr id="51" name="Line 73"/>
        <xdr:cNvSpPr>
          <a:spLocks/>
        </xdr:cNvSpPr>
      </xdr:nvSpPr>
      <xdr:spPr>
        <a:xfrm>
          <a:off x="2514600" y="5781675"/>
          <a:ext cx="12382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762000</xdr:colOff>
      <xdr:row>35</xdr:row>
      <xdr:rowOff>47625</xdr:rowOff>
    </xdr:from>
    <xdr:to>
      <xdr:col>3</xdr:col>
      <xdr:colOff>19050</xdr:colOff>
      <xdr:row>35</xdr:row>
      <xdr:rowOff>47625</xdr:rowOff>
    </xdr:to>
    <xdr:sp>
      <xdr:nvSpPr>
        <xdr:cNvPr id="52" name="Line 74"/>
        <xdr:cNvSpPr>
          <a:spLocks/>
        </xdr:cNvSpPr>
      </xdr:nvSpPr>
      <xdr:spPr>
        <a:xfrm>
          <a:off x="2133600" y="5981700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27</xdr:row>
      <xdr:rowOff>133350</xdr:rowOff>
    </xdr:from>
    <xdr:to>
      <xdr:col>6</xdr:col>
      <xdr:colOff>1219200</xdr:colOff>
      <xdr:row>30</xdr:row>
      <xdr:rowOff>123825</xdr:rowOff>
    </xdr:to>
    <xdr:sp>
      <xdr:nvSpPr>
        <xdr:cNvPr id="53" name="Line 75"/>
        <xdr:cNvSpPr>
          <a:spLocks/>
        </xdr:cNvSpPr>
      </xdr:nvSpPr>
      <xdr:spPr>
        <a:xfrm flipH="1">
          <a:off x="5772150" y="4772025"/>
          <a:ext cx="1885950" cy="476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1000125</xdr:colOff>
      <xdr:row>30</xdr:row>
      <xdr:rowOff>47625</xdr:rowOff>
    </xdr:from>
    <xdr:to>
      <xdr:col>6</xdr:col>
      <xdr:colOff>1266825</xdr:colOff>
      <xdr:row>31</xdr:row>
      <xdr:rowOff>57150</xdr:rowOff>
    </xdr:to>
    <xdr:sp>
      <xdr:nvSpPr>
        <xdr:cNvPr id="54" name="Line 76"/>
        <xdr:cNvSpPr>
          <a:spLocks/>
        </xdr:cNvSpPr>
      </xdr:nvSpPr>
      <xdr:spPr>
        <a:xfrm flipV="1">
          <a:off x="3638550" y="5172075"/>
          <a:ext cx="4067175" cy="1714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533400</xdr:colOff>
      <xdr:row>30</xdr:row>
      <xdr:rowOff>28575</xdr:rowOff>
    </xdr:from>
    <xdr:to>
      <xdr:col>5</xdr:col>
      <xdr:colOff>723900</xdr:colOff>
      <xdr:row>31</xdr:row>
      <xdr:rowOff>38100</xdr:rowOff>
    </xdr:to>
    <xdr:sp>
      <xdr:nvSpPr>
        <xdr:cNvPr id="55" name="AutoShape 77"/>
        <xdr:cNvSpPr>
          <a:spLocks noChangeAspect="1"/>
        </xdr:cNvSpPr>
      </xdr:nvSpPr>
      <xdr:spPr>
        <a:xfrm>
          <a:off x="5705475" y="5153025"/>
          <a:ext cx="180975" cy="1714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1200150</xdr:colOff>
      <xdr:row>29</xdr:row>
      <xdr:rowOff>19050</xdr:rowOff>
    </xdr:from>
    <xdr:ext cx="133350" cy="333375"/>
    <xdr:sp>
      <xdr:nvSpPr>
        <xdr:cNvPr id="56" name="TextBox 78"/>
        <xdr:cNvSpPr txBox="1">
          <a:spLocks noChangeArrowheads="1"/>
        </xdr:cNvSpPr>
      </xdr:nvSpPr>
      <xdr:spPr>
        <a:xfrm>
          <a:off x="6372225" y="498157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24</xdr:row>
      <xdr:rowOff>114300</xdr:rowOff>
    </xdr:from>
    <xdr:ext cx="419100" cy="333375"/>
    <xdr:sp>
      <xdr:nvSpPr>
        <xdr:cNvPr id="57" name="TextBox 79"/>
        <xdr:cNvSpPr txBox="1">
          <a:spLocks noChangeArrowheads="1"/>
        </xdr:cNvSpPr>
      </xdr:nvSpPr>
      <xdr:spPr>
        <a:xfrm>
          <a:off x="8048625" y="41338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О</a:t>
          </a:r>
          <a:r>
            <a:rPr lang="en-US" cap="none" sz="11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twoCellAnchor>
    <xdr:from>
      <xdr:col>6</xdr:col>
      <xdr:colOff>1266825</xdr:colOff>
      <xdr:row>30</xdr:row>
      <xdr:rowOff>95250</xdr:rowOff>
    </xdr:from>
    <xdr:to>
      <xdr:col>7</xdr:col>
      <xdr:colOff>981075</xdr:colOff>
      <xdr:row>30</xdr:row>
      <xdr:rowOff>95250</xdr:rowOff>
    </xdr:to>
    <xdr:sp>
      <xdr:nvSpPr>
        <xdr:cNvPr id="58" name="Line 80"/>
        <xdr:cNvSpPr>
          <a:spLocks/>
        </xdr:cNvSpPr>
      </xdr:nvSpPr>
      <xdr:spPr>
        <a:xfrm>
          <a:off x="7705725" y="5219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1247775</xdr:colOff>
      <xdr:row>27</xdr:row>
      <xdr:rowOff>133350</xdr:rowOff>
    </xdr:from>
    <xdr:to>
      <xdr:col>7</xdr:col>
      <xdr:colOff>942975</xdr:colOff>
      <xdr:row>27</xdr:row>
      <xdr:rowOff>133350</xdr:rowOff>
    </xdr:to>
    <xdr:sp>
      <xdr:nvSpPr>
        <xdr:cNvPr id="59" name="Line 81"/>
        <xdr:cNvSpPr>
          <a:spLocks/>
        </xdr:cNvSpPr>
      </xdr:nvSpPr>
      <xdr:spPr>
        <a:xfrm>
          <a:off x="7686675" y="4772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762000</xdr:colOff>
      <xdr:row>27</xdr:row>
      <xdr:rowOff>142875</xdr:rowOff>
    </xdr:from>
    <xdr:to>
      <xdr:col>7</xdr:col>
      <xdr:colOff>762000</xdr:colOff>
      <xdr:row>30</xdr:row>
      <xdr:rowOff>95250</xdr:rowOff>
    </xdr:to>
    <xdr:sp>
      <xdr:nvSpPr>
        <xdr:cNvPr id="60" name="Line 82"/>
        <xdr:cNvSpPr>
          <a:spLocks/>
        </xdr:cNvSpPr>
      </xdr:nvSpPr>
      <xdr:spPr>
        <a:xfrm>
          <a:off x="8467725" y="4781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542925</xdr:colOff>
      <xdr:row>28</xdr:row>
      <xdr:rowOff>57150</xdr:rowOff>
    </xdr:from>
    <xdr:ext cx="228600" cy="266700"/>
    <xdr:sp>
      <xdr:nvSpPr>
        <xdr:cNvPr id="61" name="TextBox 83"/>
        <xdr:cNvSpPr txBox="1">
          <a:spLocks noChangeArrowheads="1"/>
        </xdr:cNvSpPr>
      </xdr:nvSpPr>
      <xdr:spPr>
        <a:xfrm>
          <a:off x="8248650" y="48577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е</a:t>
          </a:r>
        </a:p>
      </xdr:txBody>
    </xdr:sp>
    <xdr:clientData/>
  </xdr:oneCellAnchor>
  <xdr:oneCellAnchor>
    <xdr:from>
      <xdr:col>2</xdr:col>
      <xdr:colOff>1238250</xdr:colOff>
      <xdr:row>26</xdr:row>
      <xdr:rowOff>171450</xdr:rowOff>
    </xdr:from>
    <xdr:ext cx="333375" cy="238125"/>
    <xdr:sp>
      <xdr:nvSpPr>
        <xdr:cNvPr id="62" name="TextBox 84"/>
        <xdr:cNvSpPr txBox="1">
          <a:spLocks noChangeArrowheads="1"/>
        </xdr:cNvSpPr>
      </xdr:nvSpPr>
      <xdr:spPr>
        <a:xfrm>
          <a:off x="2609850" y="45148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C1</a:t>
          </a:r>
        </a:p>
      </xdr:txBody>
    </xdr:sp>
    <xdr:clientData/>
  </xdr:oneCellAnchor>
  <xdr:twoCellAnchor>
    <xdr:from>
      <xdr:col>3</xdr:col>
      <xdr:colOff>104775</xdr:colOff>
      <xdr:row>26</xdr:row>
      <xdr:rowOff>38100</xdr:rowOff>
    </xdr:from>
    <xdr:to>
      <xdr:col>3</xdr:col>
      <xdr:colOff>266700</xdr:colOff>
      <xdr:row>26</xdr:row>
      <xdr:rowOff>171450</xdr:rowOff>
    </xdr:to>
    <xdr:sp>
      <xdr:nvSpPr>
        <xdr:cNvPr id="63" name="Oval 85"/>
        <xdr:cNvSpPr>
          <a:spLocks noChangeAspect="1"/>
        </xdr:cNvSpPr>
      </xdr:nvSpPr>
      <xdr:spPr>
        <a:xfrm>
          <a:off x="2743200" y="4381500"/>
          <a:ext cx="152400" cy="133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904875</xdr:colOff>
      <xdr:row>17</xdr:row>
      <xdr:rowOff>9525</xdr:rowOff>
    </xdr:from>
    <xdr:to>
      <xdr:col>5</xdr:col>
      <xdr:colOff>1057275</xdr:colOff>
      <xdr:row>17</xdr:row>
      <xdr:rowOff>142875</xdr:rowOff>
    </xdr:to>
    <xdr:sp>
      <xdr:nvSpPr>
        <xdr:cNvPr id="64" name="Oval 86"/>
        <xdr:cNvSpPr>
          <a:spLocks noChangeAspect="1"/>
        </xdr:cNvSpPr>
      </xdr:nvSpPr>
      <xdr:spPr>
        <a:xfrm>
          <a:off x="6076950" y="2895600"/>
          <a:ext cx="152400" cy="133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19</xdr:row>
      <xdr:rowOff>66675</xdr:rowOff>
    </xdr:from>
    <xdr:to>
      <xdr:col>7</xdr:col>
      <xdr:colOff>400050</xdr:colOff>
      <xdr:row>20</xdr:row>
      <xdr:rowOff>38100</xdr:rowOff>
    </xdr:to>
    <xdr:sp>
      <xdr:nvSpPr>
        <xdr:cNvPr id="65" name="Oval 87"/>
        <xdr:cNvSpPr>
          <a:spLocks noChangeAspect="1"/>
        </xdr:cNvSpPr>
      </xdr:nvSpPr>
      <xdr:spPr>
        <a:xfrm>
          <a:off x="7953375" y="3276600"/>
          <a:ext cx="152400" cy="133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104775</xdr:rowOff>
    </xdr:from>
    <xdr:to>
      <xdr:col>6</xdr:col>
      <xdr:colOff>495300</xdr:colOff>
      <xdr:row>28</xdr:row>
      <xdr:rowOff>76200</xdr:rowOff>
    </xdr:to>
    <xdr:sp>
      <xdr:nvSpPr>
        <xdr:cNvPr id="66" name="Oval 88"/>
        <xdr:cNvSpPr>
          <a:spLocks noChangeAspect="1"/>
        </xdr:cNvSpPr>
      </xdr:nvSpPr>
      <xdr:spPr>
        <a:xfrm>
          <a:off x="6781800" y="4743450"/>
          <a:ext cx="152400" cy="133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514350</xdr:colOff>
      <xdr:row>16</xdr:row>
      <xdr:rowOff>123825</xdr:rowOff>
    </xdr:from>
    <xdr:ext cx="342900" cy="247650"/>
    <xdr:sp>
      <xdr:nvSpPr>
        <xdr:cNvPr id="67" name="TextBox 89"/>
        <xdr:cNvSpPr txBox="1">
          <a:spLocks noChangeArrowheads="1"/>
        </xdr:cNvSpPr>
      </xdr:nvSpPr>
      <xdr:spPr>
        <a:xfrm>
          <a:off x="5686425" y="28479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C2</a:t>
          </a:r>
        </a:p>
      </xdr:txBody>
    </xdr:sp>
    <xdr:clientData/>
  </xdr:oneCellAnchor>
  <xdr:oneCellAnchor>
    <xdr:from>
      <xdr:col>7</xdr:col>
      <xdr:colOff>361950</xdr:colOff>
      <xdr:row>18</xdr:row>
      <xdr:rowOff>57150</xdr:rowOff>
    </xdr:from>
    <xdr:ext cx="342900" cy="238125"/>
    <xdr:sp>
      <xdr:nvSpPr>
        <xdr:cNvPr id="68" name="TextBox 90"/>
        <xdr:cNvSpPr txBox="1">
          <a:spLocks noChangeArrowheads="1"/>
        </xdr:cNvSpPr>
      </xdr:nvSpPr>
      <xdr:spPr>
        <a:xfrm>
          <a:off x="8067675" y="31051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C3</a:t>
          </a:r>
        </a:p>
      </xdr:txBody>
    </xdr:sp>
    <xdr:clientData/>
  </xdr:oneCellAnchor>
  <xdr:oneCellAnchor>
    <xdr:from>
      <xdr:col>6</xdr:col>
      <xdr:colOff>504825</xdr:colOff>
      <xdr:row>26</xdr:row>
      <xdr:rowOff>276225</xdr:rowOff>
    </xdr:from>
    <xdr:ext cx="342900" cy="238125"/>
    <xdr:sp>
      <xdr:nvSpPr>
        <xdr:cNvPr id="69" name="TextBox 91"/>
        <xdr:cNvSpPr txBox="1">
          <a:spLocks noChangeArrowheads="1"/>
        </xdr:cNvSpPr>
      </xdr:nvSpPr>
      <xdr:spPr>
        <a:xfrm>
          <a:off x="6943725" y="461962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C4</a:t>
          </a:r>
        </a:p>
      </xdr:txBody>
    </xdr:sp>
    <xdr:clientData/>
  </xdr:oneCellAnchor>
  <xdr:oneCellAnchor>
    <xdr:from>
      <xdr:col>7</xdr:col>
      <xdr:colOff>400050</xdr:colOff>
      <xdr:row>22</xdr:row>
      <xdr:rowOff>66675</xdr:rowOff>
    </xdr:from>
    <xdr:ext cx="247650" cy="333375"/>
    <xdr:sp>
      <xdr:nvSpPr>
        <xdr:cNvPr id="70" name="TextBox 92"/>
        <xdr:cNvSpPr txBox="1">
          <a:spLocks noChangeArrowheads="1"/>
        </xdr:cNvSpPr>
      </xdr:nvSpPr>
      <xdr:spPr>
        <a:xfrm>
          <a:off x="8105775" y="37623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ξ</a:t>
          </a:r>
        </a:p>
      </xdr:txBody>
    </xdr:sp>
    <xdr:clientData/>
  </xdr:oneCellAnchor>
  <xdr:oneCellAnchor>
    <xdr:from>
      <xdr:col>3</xdr:col>
      <xdr:colOff>276225</xdr:colOff>
      <xdr:row>26</xdr:row>
      <xdr:rowOff>266700</xdr:rowOff>
    </xdr:from>
    <xdr:ext cx="381000" cy="295275"/>
    <xdr:sp>
      <xdr:nvSpPr>
        <xdr:cNvPr id="71" name="TextBox 93"/>
        <xdr:cNvSpPr txBox="1">
          <a:spLocks noChangeArrowheads="1"/>
        </xdr:cNvSpPr>
      </xdr:nvSpPr>
      <xdr:spPr>
        <a:xfrm>
          <a:off x="2914650" y="461010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L1</a:t>
          </a:r>
        </a:p>
      </xdr:txBody>
    </xdr:sp>
    <xdr:clientData/>
  </xdr:oneCellAnchor>
  <xdr:oneCellAnchor>
    <xdr:from>
      <xdr:col>4</xdr:col>
      <xdr:colOff>952500</xdr:colOff>
      <xdr:row>18</xdr:row>
      <xdr:rowOff>47625</xdr:rowOff>
    </xdr:from>
    <xdr:ext cx="381000" cy="295275"/>
    <xdr:sp>
      <xdr:nvSpPr>
        <xdr:cNvPr id="72" name="TextBox 94"/>
        <xdr:cNvSpPr txBox="1">
          <a:spLocks noChangeArrowheads="1"/>
        </xdr:cNvSpPr>
      </xdr:nvSpPr>
      <xdr:spPr>
        <a:xfrm>
          <a:off x="4857750" y="309562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L2</a:t>
          </a:r>
        </a:p>
      </xdr:txBody>
    </xdr:sp>
    <xdr:clientData/>
  </xdr:oneCellAnchor>
  <xdr:oneCellAnchor>
    <xdr:from>
      <xdr:col>6</xdr:col>
      <xdr:colOff>1095375</xdr:colOff>
      <xdr:row>19</xdr:row>
      <xdr:rowOff>66675</xdr:rowOff>
    </xdr:from>
    <xdr:ext cx="438150" cy="333375"/>
    <xdr:sp>
      <xdr:nvSpPr>
        <xdr:cNvPr id="73" name="TextBox 95"/>
        <xdr:cNvSpPr txBox="1">
          <a:spLocks noChangeArrowheads="1"/>
        </xdr:cNvSpPr>
      </xdr:nvSpPr>
      <xdr:spPr>
        <a:xfrm>
          <a:off x="7534275" y="3276600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L3</a:t>
          </a:r>
        </a:p>
      </xdr:txBody>
    </xdr:sp>
    <xdr:clientData/>
  </xdr:oneCellAnchor>
  <xdr:oneCellAnchor>
    <xdr:from>
      <xdr:col>5</xdr:col>
      <xdr:colOff>1114425</xdr:colOff>
      <xdr:row>28</xdr:row>
      <xdr:rowOff>0</xdr:rowOff>
    </xdr:from>
    <xdr:ext cx="381000" cy="295275"/>
    <xdr:sp>
      <xdr:nvSpPr>
        <xdr:cNvPr id="74" name="TextBox 96"/>
        <xdr:cNvSpPr txBox="1">
          <a:spLocks noChangeArrowheads="1"/>
        </xdr:cNvSpPr>
      </xdr:nvSpPr>
      <xdr:spPr>
        <a:xfrm>
          <a:off x="6286500" y="4800600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L4</a:t>
          </a:r>
        </a:p>
      </xdr:txBody>
    </xdr:sp>
    <xdr:clientData/>
  </xdr:oneCellAnchor>
  <xdr:twoCellAnchor>
    <xdr:from>
      <xdr:col>6</xdr:col>
      <xdr:colOff>1266825</xdr:colOff>
      <xdr:row>24</xdr:row>
      <xdr:rowOff>104775</xdr:rowOff>
    </xdr:from>
    <xdr:to>
      <xdr:col>7</xdr:col>
      <xdr:colOff>1162050</xdr:colOff>
      <xdr:row>24</xdr:row>
      <xdr:rowOff>123825</xdr:rowOff>
    </xdr:to>
    <xdr:sp>
      <xdr:nvSpPr>
        <xdr:cNvPr id="75" name="Line 97"/>
        <xdr:cNvSpPr>
          <a:spLocks/>
        </xdr:cNvSpPr>
      </xdr:nvSpPr>
      <xdr:spPr>
        <a:xfrm>
          <a:off x="7705725" y="4124325"/>
          <a:ext cx="1162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1266825</xdr:colOff>
      <xdr:row>29</xdr:row>
      <xdr:rowOff>38100</xdr:rowOff>
    </xdr:from>
    <xdr:ext cx="295275" cy="266700"/>
    <xdr:sp>
      <xdr:nvSpPr>
        <xdr:cNvPr id="76" name="TextBox 98"/>
        <xdr:cNvSpPr txBox="1">
          <a:spLocks noChangeArrowheads="1"/>
        </xdr:cNvSpPr>
      </xdr:nvSpPr>
      <xdr:spPr>
        <a:xfrm>
          <a:off x="6438900" y="50006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twoCellAnchor>
    <xdr:from>
      <xdr:col>5</xdr:col>
      <xdr:colOff>600075</xdr:colOff>
      <xdr:row>30</xdr:row>
      <xdr:rowOff>142875</xdr:rowOff>
    </xdr:from>
    <xdr:to>
      <xdr:col>6</xdr:col>
      <xdr:colOff>1266825</xdr:colOff>
      <xdr:row>30</xdr:row>
      <xdr:rowOff>142875</xdr:rowOff>
    </xdr:to>
    <xdr:sp>
      <xdr:nvSpPr>
        <xdr:cNvPr id="77" name="Line 99"/>
        <xdr:cNvSpPr>
          <a:spLocks/>
        </xdr:cNvSpPr>
      </xdr:nvSpPr>
      <xdr:spPr>
        <a:xfrm>
          <a:off x="5772150" y="52673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914400</xdr:colOff>
      <xdr:row>30</xdr:row>
      <xdr:rowOff>9525</xdr:rowOff>
    </xdr:from>
    <xdr:ext cx="209550" cy="238125"/>
    <xdr:sp>
      <xdr:nvSpPr>
        <xdr:cNvPr id="78" name="TextBox 100"/>
        <xdr:cNvSpPr txBox="1">
          <a:spLocks noChangeArrowheads="1"/>
        </xdr:cNvSpPr>
      </xdr:nvSpPr>
      <xdr:spPr>
        <a:xfrm>
          <a:off x="7353300" y="51339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1</xdr:row>
      <xdr:rowOff>0</xdr:rowOff>
    </xdr:from>
    <xdr:ext cx="85725" cy="200025"/>
    <xdr:sp>
      <xdr:nvSpPr>
        <xdr:cNvPr id="1" name="TextBox 11"/>
        <xdr:cNvSpPr txBox="1">
          <a:spLocks noChangeArrowheads="1"/>
        </xdr:cNvSpPr>
      </xdr:nvSpPr>
      <xdr:spPr>
        <a:xfrm>
          <a:off x="876300" y="190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904875</xdr:colOff>
      <xdr:row>1</xdr:row>
      <xdr:rowOff>0</xdr:rowOff>
    </xdr:from>
    <xdr:ext cx="85725" cy="200025"/>
    <xdr:sp>
      <xdr:nvSpPr>
        <xdr:cNvPr id="2" name="TextBox 28"/>
        <xdr:cNvSpPr txBox="1">
          <a:spLocks noChangeArrowheads="1"/>
        </xdr:cNvSpPr>
      </xdr:nvSpPr>
      <xdr:spPr>
        <a:xfrm>
          <a:off x="904875" y="190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381000</xdr:colOff>
      <xdr:row>421</xdr:row>
      <xdr:rowOff>0</xdr:rowOff>
    </xdr:from>
    <xdr:to>
      <xdr:col>13</xdr:col>
      <xdr:colOff>523875</xdr:colOff>
      <xdr:row>435</xdr:row>
      <xdr:rowOff>114300</xdr:rowOff>
    </xdr:to>
    <xdr:graphicFrame>
      <xdr:nvGraphicFramePr>
        <xdr:cNvPr id="3" name="Chart 851"/>
        <xdr:cNvGraphicFramePr/>
      </xdr:nvGraphicFramePr>
      <xdr:xfrm>
        <a:off x="4724400" y="83972400"/>
        <a:ext cx="7258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432</xdr:row>
      <xdr:rowOff>28575</xdr:rowOff>
    </xdr:from>
    <xdr:to>
      <xdr:col>15</xdr:col>
      <xdr:colOff>466725</xdr:colOff>
      <xdr:row>446</xdr:row>
      <xdr:rowOff>133350</xdr:rowOff>
    </xdr:to>
    <xdr:graphicFrame>
      <xdr:nvGraphicFramePr>
        <xdr:cNvPr id="4" name="Chart 852"/>
        <xdr:cNvGraphicFramePr/>
      </xdr:nvGraphicFramePr>
      <xdr:xfrm>
        <a:off x="6248400" y="86153625"/>
        <a:ext cx="72580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438</xdr:row>
      <xdr:rowOff>66675</xdr:rowOff>
    </xdr:from>
    <xdr:to>
      <xdr:col>13</xdr:col>
      <xdr:colOff>304800</xdr:colOff>
      <xdr:row>452</xdr:row>
      <xdr:rowOff>171450</xdr:rowOff>
    </xdr:to>
    <xdr:graphicFrame>
      <xdr:nvGraphicFramePr>
        <xdr:cNvPr id="5" name="Chart 853"/>
        <xdr:cNvGraphicFramePr/>
      </xdr:nvGraphicFramePr>
      <xdr:xfrm>
        <a:off x="4505325" y="87382350"/>
        <a:ext cx="72580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2;&#1052;%20&#1055;&#1103;&#1090;&#1086;&#1074;&#1072;%20&#1048;[1].aa%206%20&#1076;&#1077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aa 6 дек.xls].aa 6 дек.xls]Расчеты"/>
      <sheetName val=".aa 6 дек.xls].aa 6 дек.xls]Схема"/>
      <sheetName val=".aa 6 дек.xls].aa 6 дек.xls]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9"/>
  <sheetViews>
    <sheetView workbookViewId="0" topLeftCell="A10">
      <selection activeCell="C41" sqref="C41"/>
    </sheetView>
  </sheetViews>
  <sheetFormatPr defaultColWidth="9.00390625" defaultRowHeight="12.75"/>
  <cols>
    <col min="3" max="9" width="16.625" style="0" customWidth="1"/>
  </cols>
  <sheetData>
    <row r="1" spans="3:9" ht="12.75">
      <c r="C1" s="82"/>
      <c r="D1" s="82"/>
      <c r="E1" s="82"/>
      <c r="F1" s="82"/>
      <c r="G1" s="82"/>
      <c r="H1" s="82"/>
      <c r="I1" s="82"/>
    </row>
    <row r="2" spans="3:9" ht="12.75">
      <c r="C2" s="82"/>
      <c r="D2" s="82"/>
      <c r="E2" s="82"/>
      <c r="F2" s="82"/>
      <c r="G2" s="82"/>
      <c r="H2" s="82"/>
      <c r="I2" s="82"/>
    </row>
    <row r="3" spans="3:9" ht="12.75">
      <c r="C3" s="82"/>
      <c r="D3" s="82"/>
      <c r="E3" s="82"/>
      <c r="F3" s="82"/>
      <c r="G3" s="82"/>
      <c r="H3" s="82"/>
      <c r="I3" s="82"/>
    </row>
    <row r="4" spans="3:9" ht="12.75">
      <c r="C4" s="82"/>
      <c r="D4" s="82"/>
      <c r="E4" s="82"/>
      <c r="F4" s="82"/>
      <c r="G4" s="82"/>
      <c r="H4" s="82"/>
      <c r="I4" s="82"/>
    </row>
    <row r="5" spans="3:9" ht="12.75">
      <c r="C5" s="82"/>
      <c r="D5" s="82"/>
      <c r="E5" s="82"/>
      <c r="F5" s="82"/>
      <c r="G5" s="82"/>
      <c r="H5" s="82"/>
      <c r="I5" s="82"/>
    </row>
    <row r="6" spans="3:9" ht="12.75">
      <c r="C6" s="82"/>
      <c r="D6" s="82"/>
      <c r="E6" s="82"/>
      <c r="F6" s="82"/>
      <c r="G6" s="82"/>
      <c r="H6" s="82"/>
      <c r="I6" s="82"/>
    </row>
    <row r="7" spans="3:9" ht="12.75">
      <c r="C7" s="82"/>
      <c r="D7" s="82"/>
      <c r="E7" s="82"/>
      <c r="F7" s="82"/>
      <c r="G7" s="82"/>
      <c r="H7" s="82"/>
      <c r="I7" s="82"/>
    </row>
    <row r="8" spans="3:9" ht="12.75">
      <c r="C8" s="82"/>
      <c r="D8" s="82"/>
      <c r="E8" s="82"/>
      <c r="F8" s="82"/>
      <c r="G8" s="82"/>
      <c r="H8" s="82"/>
      <c r="I8" s="82"/>
    </row>
    <row r="9" spans="3:9" ht="12.75">
      <c r="C9" s="82"/>
      <c r="D9" s="82"/>
      <c r="E9" s="82"/>
      <c r="F9" s="82"/>
      <c r="G9" s="82"/>
      <c r="H9" s="82"/>
      <c r="I9" s="82"/>
    </row>
    <row r="10" spans="3:9" ht="12.75">
      <c r="C10" s="82"/>
      <c r="D10" s="82"/>
      <c r="E10" s="82"/>
      <c r="F10" s="82"/>
      <c r="G10" s="82"/>
      <c r="H10" s="82"/>
      <c r="I10" s="82"/>
    </row>
    <row r="11" spans="3:9" ht="12.75">
      <c r="C11" s="82"/>
      <c r="D11" s="82"/>
      <c r="E11" s="82"/>
      <c r="F11" s="82"/>
      <c r="G11" s="82"/>
      <c r="H11" s="82"/>
      <c r="I11" s="82"/>
    </row>
    <row r="12" spans="3:9" ht="12.75">
      <c r="C12" s="82"/>
      <c r="D12" s="82"/>
      <c r="E12" s="82"/>
      <c r="F12" s="82"/>
      <c r="G12" s="82"/>
      <c r="H12" s="82"/>
      <c r="I12" s="82"/>
    </row>
    <row r="13" spans="3:9" ht="23.25">
      <c r="C13" s="82"/>
      <c r="D13" s="82"/>
      <c r="E13" s="82"/>
      <c r="F13" s="82"/>
      <c r="G13" s="82"/>
      <c r="H13" s="82"/>
      <c r="I13" s="83"/>
    </row>
    <row r="14" spans="3:9" ht="12.75">
      <c r="C14" s="82"/>
      <c r="D14" s="82"/>
      <c r="E14" s="82"/>
      <c r="F14" s="82"/>
      <c r="G14" s="82"/>
      <c r="H14" s="82"/>
      <c r="I14" s="82"/>
    </row>
    <row r="15" spans="3:9" ht="12.75">
      <c r="C15" s="82"/>
      <c r="D15" s="82"/>
      <c r="E15" s="82"/>
      <c r="F15" s="82"/>
      <c r="G15" s="82"/>
      <c r="H15" s="82"/>
      <c r="I15" s="82"/>
    </row>
    <row r="16" spans="3:9" ht="12.75">
      <c r="C16" s="82"/>
      <c r="D16" s="82"/>
      <c r="E16" s="82"/>
      <c r="F16" s="82"/>
      <c r="G16" s="82"/>
      <c r="H16" s="82"/>
      <c r="I16" s="82"/>
    </row>
    <row r="17" spans="3:9" ht="12.75">
      <c r="C17" s="82"/>
      <c r="D17" s="82"/>
      <c r="E17" s="82"/>
      <c r="F17" s="82"/>
      <c r="G17" s="82"/>
      <c r="H17" s="82"/>
      <c r="I17" s="82"/>
    </row>
    <row r="18" spans="3:9" ht="12.75">
      <c r="C18" s="82"/>
      <c r="D18" s="82"/>
      <c r="E18" s="82"/>
      <c r="F18" s="82"/>
      <c r="G18" s="82"/>
      <c r="H18" s="82"/>
      <c r="I18" s="82"/>
    </row>
    <row r="19" spans="3:9" ht="12.75">
      <c r="C19" s="82"/>
      <c r="D19" s="82"/>
      <c r="E19" s="82"/>
      <c r="F19" s="82"/>
      <c r="G19" s="82"/>
      <c r="H19" s="82"/>
      <c r="I19" s="82"/>
    </row>
    <row r="20" spans="3:9" ht="12.75">
      <c r="C20" s="82"/>
      <c r="D20" s="82"/>
      <c r="E20" s="82"/>
      <c r="F20" s="82"/>
      <c r="G20" s="82"/>
      <c r="H20" s="82"/>
      <c r="I20" s="82"/>
    </row>
    <row r="21" spans="3:9" ht="12.75">
      <c r="C21" s="82"/>
      <c r="D21" s="82"/>
      <c r="E21" s="82"/>
      <c r="F21" s="82"/>
      <c r="G21" s="82"/>
      <c r="H21" s="82"/>
      <c r="I21" s="82"/>
    </row>
    <row r="22" spans="3:9" ht="12.75">
      <c r="C22" s="82"/>
      <c r="D22" s="82"/>
      <c r="E22" s="82"/>
      <c r="F22" s="82"/>
      <c r="G22" s="82"/>
      <c r="H22" s="82"/>
      <c r="I22" s="82"/>
    </row>
    <row r="23" spans="3:9" ht="12.75">
      <c r="C23" s="82"/>
      <c r="D23" s="82"/>
      <c r="E23" s="82"/>
      <c r="F23" s="82"/>
      <c r="G23" s="82"/>
      <c r="H23" s="82"/>
      <c r="I23" s="82"/>
    </row>
    <row r="24" spans="3:9" ht="12.75">
      <c r="C24" s="82"/>
      <c r="D24" s="82"/>
      <c r="E24" s="82"/>
      <c r="F24" s="82"/>
      <c r="G24" s="82"/>
      <c r="H24" s="82"/>
      <c r="I24" s="82"/>
    </row>
    <row r="25" spans="3:9" ht="12.75">
      <c r="C25" s="82"/>
      <c r="D25" s="82"/>
      <c r="E25" s="82"/>
      <c r="F25" s="82"/>
      <c r="G25" s="82"/>
      <c r="H25" s="82"/>
      <c r="I25" s="82"/>
    </row>
    <row r="26" spans="3:9" ht="12.75">
      <c r="C26" s="82"/>
      <c r="D26" s="82"/>
      <c r="E26" s="82"/>
      <c r="F26" s="82"/>
      <c r="G26" s="82"/>
      <c r="H26" s="82"/>
      <c r="I26" s="82"/>
    </row>
    <row r="27" spans="3:9" ht="23.25">
      <c r="C27" s="82"/>
      <c r="D27" s="82"/>
      <c r="E27" s="82"/>
      <c r="F27" s="82"/>
      <c r="G27" s="82"/>
      <c r="H27" s="83"/>
      <c r="I27" s="82"/>
    </row>
    <row r="28" spans="3:9" ht="12.75">
      <c r="C28" s="82"/>
      <c r="D28" s="82"/>
      <c r="E28" s="82"/>
      <c r="F28" s="82"/>
      <c r="G28" s="82"/>
      <c r="H28" s="82"/>
      <c r="I28" s="82"/>
    </row>
    <row r="29" spans="3:9" ht="12.75">
      <c r="C29" s="82"/>
      <c r="D29" s="82"/>
      <c r="E29" s="82"/>
      <c r="F29" s="82"/>
      <c r="G29" s="82"/>
      <c r="H29" s="82"/>
      <c r="I29" s="82"/>
    </row>
    <row r="30" spans="3:9" ht="12.75">
      <c r="C30" s="82"/>
      <c r="D30" s="82"/>
      <c r="E30" s="82"/>
      <c r="F30" s="82"/>
      <c r="G30" s="82"/>
      <c r="H30" s="82"/>
      <c r="I30" s="82"/>
    </row>
    <row r="31" spans="3:9" ht="12.75">
      <c r="C31" s="82"/>
      <c r="D31" s="82"/>
      <c r="E31" s="82"/>
      <c r="F31" s="82"/>
      <c r="G31" s="82"/>
      <c r="H31" s="82"/>
      <c r="I31" s="82"/>
    </row>
    <row r="32" spans="3:9" ht="12.75">
      <c r="C32" s="82"/>
      <c r="D32" s="82"/>
      <c r="E32" s="82"/>
      <c r="F32" s="82"/>
      <c r="G32" s="82"/>
      <c r="H32" s="82"/>
      <c r="I32" s="82"/>
    </row>
    <row r="33" spans="3:9" ht="12.75">
      <c r="C33" s="82"/>
      <c r="D33" s="82"/>
      <c r="E33" s="82"/>
      <c r="F33" s="82"/>
      <c r="G33" s="82"/>
      <c r="H33" s="82"/>
      <c r="I33" s="82"/>
    </row>
    <row r="34" spans="3:9" ht="12.75">
      <c r="C34" s="82"/>
      <c r="D34" s="82"/>
      <c r="E34" s="82"/>
      <c r="F34" s="82"/>
      <c r="G34" s="82"/>
      <c r="H34" s="82"/>
      <c r="I34" s="82"/>
    </row>
    <row r="35" spans="3:9" ht="12.75">
      <c r="C35" s="82"/>
      <c r="D35" s="82"/>
      <c r="E35" s="82"/>
      <c r="F35" s="82"/>
      <c r="G35" s="82"/>
      <c r="H35" s="82"/>
      <c r="I35" s="82"/>
    </row>
    <row r="36" spans="3:9" ht="12.75">
      <c r="C36" s="82"/>
      <c r="D36" s="82"/>
      <c r="E36" s="82"/>
      <c r="F36" s="82"/>
      <c r="G36" s="82"/>
      <c r="H36" s="82"/>
      <c r="I36" s="82"/>
    </row>
    <row r="37" spans="3:9" ht="12.75">
      <c r="C37" s="82"/>
      <c r="D37" s="82"/>
      <c r="E37" s="82"/>
      <c r="F37" s="82"/>
      <c r="G37" s="82"/>
      <c r="H37" s="82"/>
      <c r="I37" s="82"/>
    </row>
    <row r="38" spans="3:9" ht="12.75">
      <c r="C38" s="84"/>
      <c r="D38" s="84"/>
      <c r="E38" s="84"/>
      <c r="F38" s="84"/>
      <c r="G38" s="84"/>
      <c r="H38" s="84"/>
      <c r="I38" s="84"/>
    </row>
    <row r="39" spans="3:9" ht="26.25">
      <c r="C39" s="85"/>
      <c r="D39" s="85"/>
      <c r="E39" s="85"/>
      <c r="F39" s="86"/>
      <c r="G39" s="85"/>
      <c r="H39" s="85"/>
      <c r="I39" s="8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workbookViewId="0" topLeftCell="A28">
      <selection activeCell="D12" sqref="D12"/>
    </sheetView>
  </sheetViews>
  <sheetFormatPr defaultColWidth="9.00390625" defaultRowHeight="12.75"/>
  <cols>
    <col min="1" max="1" width="18.875" style="0" customWidth="1"/>
    <col min="2" max="2" width="7.125" style="0" customWidth="1"/>
    <col min="3" max="3" width="10.00390625" style="0" customWidth="1"/>
    <col min="4" max="4" width="6.25390625" style="0" customWidth="1"/>
    <col min="6" max="6" width="9.25390625" style="0" customWidth="1"/>
    <col min="7" max="7" width="11.00390625" style="0" customWidth="1"/>
    <col min="8" max="8" width="8.75390625" style="0" customWidth="1"/>
    <col min="10" max="10" width="6.375" style="0" customWidth="1"/>
    <col min="11" max="11" width="7.00390625" style="0" customWidth="1"/>
    <col min="12" max="12" width="7.25390625" style="0" customWidth="1"/>
    <col min="13" max="14" width="7.875" style="0" customWidth="1"/>
    <col min="15" max="15" width="7.75390625" style="0" customWidth="1"/>
    <col min="16" max="16" width="6.625" style="0" customWidth="1"/>
    <col min="17" max="17" width="6.875" style="0" customWidth="1"/>
    <col min="18" max="16384" width="0" style="0" hidden="1" customWidth="1"/>
  </cols>
  <sheetData>
    <row r="1" spans="1:12" ht="15.75">
      <c r="A1" t="s">
        <v>367</v>
      </c>
      <c r="B1" s="34" t="s">
        <v>7</v>
      </c>
      <c r="C1" s="44" t="s">
        <v>25</v>
      </c>
      <c r="D1" s="34" t="s">
        <v>26</v>
      </c>
      <c r="E1" s="120" t="s">
        <v>368</v>
      </c>
      <c r="H1" s="75" t="s">
        <v>172</v>
      </c>
      <c r="I1" s="75" t="s">
        <v>173</v>
      </c>
      <c r="J1" s="75" t="s">
        <v>174</v>
      </c>
      <c r="K1" s="75" t="s">
        <v>175</v>
      </c>
      <c r="L1" s="124" t="s">
        <v>181</v>
      </c>
    </row>
    <row r="2" spans="1:12" ht="15.75">
      <c r="A2" s="34" t="s">
        <v>369</v>
      </c>
      <c r="B2" s="128">
        <v>20</v>
      </c>
      <c r="C2" s="128">
        <v>69</v>
      </c>
      <c r="D2" s="128">
        <v>70</v>
      </c>
      <c r="E2" s="128">
        <v>117</v>
      </c>
      <c r="G2" s="1"/>
      <c r="H2" s="38" t="s">
        <v>381</v>
      </c>
      <c r="I2" s="38" t="s">
        <v>382</v>
      </c>
      <c r="J2" s="38" t="s">
        <v>59</v>
      </c>
      <c r="K2" s="38" t="s">
        <v>383</v>
      </c>
      <c r="L2" s="38" t="s">
        <v>384</v>
      </c>
    </row>
    <row r="3" spans="1:12" ht="15.75">
      <c r="A3" s="34" t="s">
        <v>370</v>
      </c>
      <c r="B3" s="128">
        <v>26</v>
      </c>
      <c r="C3" s="128">
        <v>75</v>
      </c>
      <c r="D3" s="128">
        <v>76</v>
      </c>
      <c r="E3" s="128">
        <v>123</v>
      </c>
      <c r="G3" s="75" t="s">
        <v>176</v>
      </c>
      <c r="H3" s="129">
        <v>13</v>
      </c>
      <c r="I3" s="129">
        <v>13</v>
      </c>
      <c r="J3" s="129">
        <v>13</v>
      </c>
      <c r="K3" s="129">
        <v>13</v>
      </c>
      <c r="L3" s="129">
        <v>13</v>
      </c>
    </row>
    <row r="4" spans="1:12" ht="15.75">
      <c r="A4" s="34" t="s">
        <v>371</v>
      </c>
      <c r="B4" s="128">
        <v>24</v>
      </c>
      <c r="C4" s="128">
        <v>81</v>
      </c>
      <c r="D4" s="128">
        <v>82</v>
      </c>
      <c r="E4" s="128">
        <v>126</v>
      </c>
      <c r="G4" s="124" t="s">
        <v>177</v>
      </c>
      <c r="H4" s="129">
        <v>14</v>
      </c>
      <c r="I4" s="129">
        <v>14</v>
      </c>
      <c r="J4" s="129">
        <v>14</v>
      </c>
      <c r="K4" s="129">
        <v>14</v>
      </c>
      <c r="L4" s="129">
        <v>14</v>
      </c>
    </row>
    <row r="5" spans="1:12" ht="16.5" thickBot="1">
      <c r="A5" s="35" t="s">
        <v>372</v>
      </c>
      <c r="B5" s="128">
        <v>21</v>
      </c>
      <c r="C5" s="128">
        <v>71</v>
      </c>
      <c r="D5" s="128">
        <v>72</v>
      </c>
      <c r="E5" s="128">
        <v>118</v>
      </c>
      <c r="G5" s="125" t="s">
        <v>178</v>
      </c>
      <c r="H5" s="130">
        <v>15</v>
      </c>
      <c r="I5" s="130">
        <v>15</v>
      </c>
      <c r="J5" s="130">
        <v>15</v>
      </c>
      <c r="K5" s="130">
        <v>15</v>
      </c>
      <c r="L5" s="130">
        <v>15</v>
      </c>
    </row>
    <row r="6" ht="15">
      <c r="A6" s="121"/>
    </row>
    <row r="7" ht="15">
      <c r="A7" s="121"/>
    </row>
    <row r="8" spans="1:13" ht="15.75">
      <c r="A8" s="121"/>
      <c r="G8" s="127" t="s">
        <v>59</v>
      </c>
      <c r="H8" s="136" t="s">
        <v>377</v>
      </c>
      <c r="I8" s="136" t="s">
        <v>385</v>
      </c>
      <c r="J8" s="136" t="s">
        <v>389</v>
      </c>
      <c r="K8" s="136" t="s">
        <v>390</v>
      </c>
      <c r="L8" s="136" t="s">
        <v>391</v>
      </c>
      <c r="M8" s="136" t="s">
        <v>401</v>
      </c>
    </row>
    <row r="9" spans="1:13" ht="15.75">
      <c r="A9" s="121"/>
      <c r="G9" s="127" t="s">
        <v>45</v>
      </c>
      <c r="H9" s="136" t="s">
        <v>376</v>
      </c>
      <c r="I9" s="136" t="s">
        <v>386</v>
      </c>
      <c r="J9" s="136" t="s">
        <v>392</v>
      </c>
      <c r="K9" s="136" t="s">
        <v>393</v>
      </c>
      <c r="L9" s="136" t="s">
        <v>394</v>
      </c>
      <c r="M9" s="136" t="s">
        <v>402</v>
      </c>
    </row>
    <row r="10" spans="7:13" ht="15.75">
      <c r="G10" s="127" t="s">
        <v>44</v>
      </c>
      <c r="H10" s="136" t="s">
        <v>378</v>
      </c>
      <c r="I10" s="136" t="s">
        <v>387</v>
      </c>
      <c r="J10" s="136" t="s">
        <v>395</v>
      </c>
      <c r="K10" s="136" t="s">
        <v>396</v>
      </c>
      <c r="L10" s="136" t="s">
        <v>397</v>
      </c>
      <c r="M10" s="136" t="s">
        <v>403</v>
      </c>
    </row>
    <row r="11" spans="1:13" ht="15.75">
      <c r="A11" s="40" t="s">
        <v>53</v>
      </c>
      <c r="G11" s="126" t="s">
        <v>53</v>
      </c>
      <c r="H11" s="136" t="s">
        <v>379</v>
      </c>
      <c r="I11" s="136" t="s">
        <v>388</v>
      </c>
      <c r="J11" s="136" t="s">
        <v>398</v>
      </c>
      <c r="K11" s="136" t="s">
        <v>399</v>
      </c>
      <c r="L11" s="136" t="s">
        <v>400</v>
      </c>
      <c r="M11" s="136" t="s">
        <v>404</v>
      </c>
    </row>
    <row r="12" spans="1:13" ht="15.75">
      <c r="A12" s="40" t="s">
        <v>52</v>
      </c>
      <c r="G12" s="126" t="s">
        <v>52</v>
      </c>
      <c r="H12" s="136" t="s">
        <v>380</v>
      </c>
      <c r="I12" s="136" t="s">
        <v>405</v>
      </c>
      <c r="J12" s="136" t="s">
        <v>406</v>
      </c>
      <c r="K12" s="136" t="s">
        <v>407</v>
      </c>
      <c r="L12" s="136" t="s">
        <v>408</v>
      </c>
      <c r="M12" s="136" t="s">
        <v>409</v>
      </c>
    </row>
    <row r="13" spans="1:13" ht="25.5" customHeight="1" thickBot="1">
      <c r="A13" s="122" t="s">
        <v>51</v>
      </c>
      <c r="B13" s="127" t="s">
        <v>373</v>
      </c>
      <c r="C13" s="127" t="s">
        <v>374</v>
      </c>
      <c r="D13" s="127" t="s">
        <v>375</v>
      </c>
      <c r="E13" s="127" t="s">
        <v>56</v>
      </c>
      <c r="F13" s="127" t="s">
        <v>57</v>
      </c>
      <c r="H13" s="127" t="s">
        <v>60</v>
      </c>
      <c r="I13" s="127" t="s">
        <v>61</v>
      </c>
      <c r="J13" s="127" t="s">
        <v>62</v>
      </c>
      <c r="K13" s="127" t="s">
        <v>63</v>
      </c>
      <c r="L13" s="127" t="s">
        <v>64</v>
      </c>
      <c r="M13" s="127" t="s">
        <v>231</v>
      </c>
    </row>
    <row r="14" spans="1:17" ht="15">
      <c r="A14" s="47" t="s">
        <v>410</v>
      </c>
      <c r="B14" s="132" t="s">
        <v>354</v>
      </c>
      <c r="C14" s="132" t="s">
        <v>355</v>
      </c>
      <c r="D14" s="132">
        <v>96</v>
      </c>
      <c r="E14" s="132">
        <v>105</v>
      </c>
      <c r="F14" s="131">
        <v>129</v>
      </c>
      <c r="G14" s="131"/>
      <c r="H14" s="132">
        <v>139</v>
      </c>
      <c r="I14" s="131">
        <v>161</v>
      </c>
      <c r="J14" s="132">
        <v>183</v>
      </c>
      <c r="K14" s="131">
        <v>227</v>
      </c>
      <c r="L14" s="131">
        <v>248</v>
      </c>
      <c r="M14" s="40"/>
      <c r="N14" s="40"/>
      <c r="O14" s="40"/>
      <c r="P14" s="40"/>
      <c r="Q14" s="110"/>
    </row>
    <row r="15" spans="1:17" ht="15">
      <c r="A15" s="48" t="s">
        <v>411</v>
      </c>
      <c r="B15" s="132" t="s">
        <v>356</v>
      </c>
      <c r="C15" s="132" t="s">
        <v>357</v>
      </c>
      <c r="D15" s="132">
        <v>97</v>
      </c>
      <c r="E15" s="132">
        <v>106</v>
      </c>
      <c r="F15" s="131">
        <v>130</v>
      </c>
      <c r="G15" s="131"/>
      <c r="H15" s="132">
        <v>140</v>
      </c>
      <c r="I15" s="131">
        <v>162</v>
      </c>
      <c r="J15" s="132">
        <v>184</v>
      </c>
      <c r="K15" s="131">
        <v>228</v>
      </c>
      <c r="L15" s="131">
        <v>249</v>
      </c>
      <c r="M15" s="123"/>
      <c r="N15" s="123"/>
      <c r="O15" s="112"/>
      <c r="P15" s="123"/>
      <c r="Q15" s="110"/>
    </row>
    <row r="16" spans="1:17" ht="15">
      <c r="A16" s="48" t="s">
        <v>412</v>
      </c>
      <c r="B16" s="132" t="s">
        <v>358</v>
      </c>
      <c r="C16" s="132" t="s">
        <v>359</v>
      </c>
      <c r="D16" s="132">
        <v>98</v>
      </c>
      <c r="E16" s="132">
        <v>107</v>
      </c>
      <c r="F16" s="131">
        <v>131</v>
      </c>
      <c r="G16" s="131"/>
      <c r="H16" s="132">
        <v>141</v>
      </c>
      <c r="I16" s="131">
        <v>163</v>
      </c>
      <c r="J16" s="132">
        <v>185</v>
      </c>
      <c r="K16" s="131">
        <v>229</v>
      </c>
      <c r="L16" s="131">
        <v>250</v>
      </c>
      <c r="M16" s="123"/>
      <c r="N16" s="123"/>
      <c r="O16" s="112"/>
      <c r="P16" s="123"/>
      <c r="Q16" s="110"/>
    </row>
    <row r="17" spans="1:17" ht="15">
      <c r="A17" s="48" t="s">
        <v>413</v>
      </c>
      <c r="B17" s="132" t="s">
        <v>360</v>
      </c>
      <c r="C17" s="132" t="s">
        <v>361</v>
      </c>
      <c r="D17" s="132">
        <v>99</v>
      </c>
      <c r="E17" s="132">
        <v>108</v>
      </c>
      <c r="F17" s="131">
        <v>132</v>
      </c>
      <c r="G17" s="131"/>
      <c r="H17" s="132">
        <v>142</v>
      </c>
      <c r="I17" s="131">
        <v>164</v>
      </c>
      <c r="J17" s="132">
        <v>186</v>
      </c>
      <c r="K17" s="131">
        <v>230</v>
      </c>
      <c r="L17" s="131">
        <v>251</v>
      </c>
      <c r="M17" s="123"/>
      <c r="N17" s="123"/>
      <c r="O17" s="112"/>
      <c r="P17" s="123"/>
      <c r="Q17" s="110"/>
    </row>
    <row r="18" spans="1:17" ht="15">
      <c r="A18" s="48" t="s">
        <v>414</v>
      </c>
      <c r="B18" s="132" t="s">
        <v>362</v>
      </c>
      <c r="C18" s="132" t="s">
        <v>363</v>
      </c>
      <c r="D18" s="132">
        <v>100</v>
      </c>
      <c r="E18" s="132">
        <v>109</v>
      </c>
      <c r="F18" s="131">
        <v>133</v>
      </c>
      <c r="G18" s="131"/>
      <c r="H18" s="132">
        <v>143</v>
      </c>
      <c r="I18" s="131">
        <v>165</v>
      </c>
      <c r="J18" s="132">
        <v>187</v>
      </c>
      <c r="K18" s="131">
        <v>231</v>
      </c>
      <c r="L18" s="131">
        <v>252</v>
      </c>
      <c r="M18" s="123"/>
      <c r="N18" s="123"/>
      <c r="O18" s="112"/>
      <c r="P18" s="123"/>
      <c r="Q18" s="110"/>
    </row>
    <row r="19" spans="1:17" ht="15">
      <c r="A19" s="48" t="s">
        <v>415</v>
      </c>
      <c r="B19" s="132" t="s">
        <v>364</v>
      </c>
      <c r="C19" s="132" t="s">
        <v>365</v>
      </c>
      <c r="D19" s="132">
        <v>101</v>
      </c>
      <c r="E19" s="132">
        <v>110</v>
      </c>
      <c r="F19" s="131">
        <v>134</v>
      </c>
      <c r="G19" s="131"/>
      <c r="H19" s="132">
        <v>144</v>
      </c>
      <c r="I19" s="131">
        <v>166</v>
      </c>
      <c r="J19" s="132">
        <v>188</v>
      </c>
      <c r="K19" s="131">
        <v>232</v>
      </c>
      <c r="L19" s="131">
        <v>253</v>
      </c>
      <c r="M19" s="123"/>
      <c r="N19" s="123"/>
      <c r="O19" s="112"/>
      <c r="P19" s="123"/>
      <c r="Q19" s="110"/>
    </row>
    <row r="20" spans="1:13" ht="15">
      <c r="A20" s="148" t="s">
        <v>441</v>
      </c>
      <c r="B20" s="133"/>
      <c r="C20" s="42"/>
      <c r="D20" s="133"/>
      <c r="E20" s="133"/>
      <c r="F20" s="133"/>
      <c r="G20" s="40"/>
      <c r="I20" s="110"/>
      <c r="J20" s="110"/>
      <c r="K20" s="111"/>
      <c r="L20" s="112"/>
      <c r="M20" s="112"/>
    </row>
    <row r="21" spans="1:35" ht="15.75">
      <c r="A21" s="111" t="s">
        <v>416</v>
      </c>
      <c r="B21" s="144">
        <v>362</v>
      </c>
      <c r="C21" s="119">
        <v>331</v>
      </c>
      <c r="D21" s="144"/>
      <c r="E21" s="144">
        <v>299</v>
      </c>
      <c r="F21" s="144">
        <v>284</v>
      </c>
      <c r="G21" s="142" t="s">
        <v>95</v>
      </c>
      <c r="H21" s="137">
        <v>149</v>
      </c>
      <c r="I21" s="137">
        <v>171</v>
      </c>
      <c r="J21" s="137">
        <v>192</v>
      </c>
      <c r="K21" s="137">
        <v>236</v>
      </c>
      <c r="L21" s="137">
        <v>256</v>
      </c>
      <c r="M21" s="137">
        <v>274</v>
      </c>
      <c r="AE21">
        <v>0</v>
      </c>
      <c r="AF21">
        <v>0</v>
      </c>
      <c r="AG21">
        <v>0</v>
      </c>
      <c r="AH21">
        <v>0</v>
      </c>
      <c r="AI21">
        <v>0</v>
      </c>
    </row>
    <row r="22" spans="1:35" ht="15.75">
      <c r="A22" s="111" t="s">
        <v>417</v>
      </c>
      <c r="B22" s="144">
        <v>363</v>
      </c>
      <c r="C22" s="119">
        <v>332</v>
      </c>
      <c r="D22" s="144"/>
      <c r="E22" s="144">
        <v>300</v>
      </c>
      <c r="F22" s="144">
        <v>285</v>
      </c>
      <c r="G22" s="142" t="s">
        <v>96</v>
      </c>
      <c r="H22" s="137">
        <v>150</v>
      </c>
      <c r="I22" s="137">
        <v>172</v>
      </c>
      <c r="J22" s="137">
        <v>193</v>
      </c>
      <c r="K22" s="137">
        <v>237</v>
      </c>
      <c r="L22" s="137">
        <v>257</v>
      </c>
      <c r="M22" s="137">
        <v>275</v>
      </c>
      <c r="AE22">
        <v>0</v>
      </c>
      <c r="AF22">
        <v>0</v>
      </c>
      <c r="AG22">
        <v>0</v>
      </c>
      <c r="AH22">
        <v>0</v>
      </c>
      <c r="AI22">
        <v>0</v>
      </c>
    </row>
    <row r="23" spans="1:13" ht="15.75">
      <c r="A23" s="111" t="s">
        <v>418</v>
      </c>
      <c r="B23" s="144" t="s">
        <v>438</v>
      </c>
      <c r="C23" s="119" t="s">
        <v>439</v>
      </c>
      <c r="D23" s="144"/>
      <c r="E23" s="144" t="s">
        <v>440</v>
      </c>
      <c r="F23" s="144">
        <v>286</v>
      </c>
      <c r="G23" s="142" t="s">
        <v>97</v>
      </c>
      <c r="H23" s="137">
        <v>151</v>
      </c>
      <c r="I23" s="137">
        <v>173</v>
      </c>
      <c r="J23" s="137">
        <v>194</v>
      </c>
      <c r="K23" s="137">
        <v>238</v>
      </c>
      <c r="L23" s="137">
        <v>258</v>
      </c>
      <c r="M23" s="137">
        <v>276</v>
      </c>
    </row>
    <row r="24" spans="1:35" ht="15.75">
      <c r="A24" s="111" t="s">
        <v>433</v>
      </c>
      <c r="B24" s="145">
        <v>366</v>
      </c>
      <c r="C24" s="144">
        <v>335</v>
      </c>
      <c r="D24" s="144"/>
      <c r="E24" s="144">
        <v>303</v>
      </c>
      <c r="F24" s="144">
        <v>288</v>
      </c>
      <c r="G24" s="143"/>
      <c r="H24" s="137"/>
      <c r="I24" s="137">
        <v>174</v>
      </c>
      <c r="J24" s="137">
        <v>195</v>
      </c>
      <c r="K24" s="137">
        <v>239</v>
      </c>
      <c r="L24" s="137">
        <v>259</v>
      </c>
      <c r="M24" s="137"/>
      <c r="N24" s="110"/>
      <c r="O24" s="110"/>
      <c r="P24" s="110"/>
      <c r="Q24" s="110"/>
      <c r="AE24">
        <v>0</v>
      </c>
      <c r="AF24">
        <v>0</v>
      </c>
      <c r="AG24">
        <v>0</v>
      </c>
      <c r="AH24">
        <v>0</v>
      </c>
      <c r="AI24">
        <v>0</v>
      </c>
    </row>
    <row r="25" spans="1:35" ht="15.75">
      <c r="A25" s="116" t="s">
        <v>419</v>
      </c>
      <c r="B25" s="119">
        <v>413</v>
      </c>
      <c r="C25" s="119">
        <v>404</v>
      </c>
      <c r="D25" s="144"/>
      <c r="E25" s="119">
        <v>387</v>
      </c>
      <c r="F25" s="144"/>
      <c r="G25" s="142" t="s">
        <v>100</v>
      </c>
      <c r="H25" s="137">
        <v>153</v>
      </c>
      <c r="I25" s="137">
        <v>175</v>
      </c>
      <c r="J25" s="137">
        <v>196</v>
      </c>
      <c r="K25" s="137">
        <v>240</v>
      </c>
      <c r="L25" s="137">
        <v>260</v>
      </c>
      <c r="M25" s="138"/>
      <c r="N25" s="114"/>
      <c r="O25" s="110"/>
      <c r="P25" s="110"/>
      <c r="Q25" s="110"/>
      <c r="AE25">
        <v>0</v>
      </c>
      <c r="AF25">
        <v>0</v>
      </c>
      <c r="AG25">
        <v>0</v>
      </c>
      <c r="AH25">
        <v>0</v>
      </c>
      <c r="AI25">
        <v>0</v>
      </c>
    </row>
    <row r="26" spans="1:35" ht="15.75">
      <c r="A26" s="117" t="s">
        <v>420</v>
      </c>
      <c r="B26" s="119">
        <v>414</v>
      </c>
      <c r="C26" s="146">
        <v>405</v>
      </c>
      <c r="D26" s="144"/>
      <c r="E26" s="146">
        <v>388</v>
      </c>
      <c r="F26" s="144"/>
      <c r="G26" s="142" t="s">
        <v>101</v>
      </c>
      <c r="H26" s="137">
        <v>154</v>
      </c>
      <c r="I26" s="137">
        <v>176</v>
      </c>
      <c r="J26" s="137">
        <v>197</v>
      </c>
      <c r="K26" s="137">
        <v>241</v>
      </c>
      <c r="L26" s="137">
        <v>261</v>
      </c>
      <c r="M26" s="139"/>
      <c r="N26" s="114"/>
      <c r="O26" s="110"/>
      <c r="P26" s="116"/>
      <c r="Q26" s="113"/>
      <c r="AE26">
        <v>0</v>
      </c>
      <c r="AF26">
        <v>0</v>
      </c>
      <c r="AG26">
        <v>0</v>
      </c>
      <c r="AH26">
        <v>0</v>
      </c>
      <c r="AI26">
        <v>0</v>
      </c>
    </row>
    <row r="27" spans="1:35" ht="15.75">
      <c r="A27" s="118" t="s">
        <v>434</v>
      </c>
      <c r="B27" s="119"/>
      <c r="C27" s="147">
        <v>422</v>
      </c>
      <c r="D27" s="144"/>
      <c r="E27" s="147"/>
      <c r="F27" s="144">
        <v>396</v>
      </c>
      <c r="G27" s="142" t="s">
        <v>102</v>
      </c>
      <c r="H27" s="137">
        <v>155</v>
      </c>
      <c r="I27" s="137">
        <v>177</v>
      </c>
      <c r="J27" s="137">
        <v>198</v>
      </c>
      <c r="K27" s="137">
        <v>242</v>
      </c>
      <c r="L27" s="137">
        <v>262</v>
      </c>
      <c r="M27" s="140">
        <v>277</v>
      </c>
      <c r="N27" s="114"/>
      <c r="O27" s="110"/>
      <c r="P27" s="117"/>
      <c r="Q27" s="113"/>
      <c r="AE27">
        <v>0</v>
      </c>
      <c r="AF27">
        <v>0</v>
      </c>
      <c r="AG27">
        <v>0</v>
      </c>
      <c r="AH27">
        <v>0</v>
      </c>
      <c r="AI27">
        <v>0</v>
      </c>
    </row>
    <row r="28" spans="1:17" ht="15">
      <c r="A28" s="141" t="s">
        <v>435</v>
      </c>
      <c r="B28" s="119"/>
      <c r="C28" s="146">
        <v>423</v>
      </c>
      <c r="D28" s="144"/>
      <c r="E28" s="146"/>
      <c r="F28" s="144">
        <v>397</v>
      </c>
      <c r="G28" s="117"/>
      <c r="H28" s="133"/>
      <c r="I28" s="117"/>
      <c r="J28" s="133"/>
      <c r="K28" s="42"/>
      <c r="L28" s="115"/>
      <c r="M28" s="134"/>
      <c r="N28" s="114"/>
      <c r="O28" s="133"/>
      <c r="P28" s="118"/>
      <c r="Q28" s="113"/>
    </row>
    <row r="29" spans="2:35" ht="15">
      <c r="B29" s="119"/>
      <c r="C29" s="146"/>
      <c r="D29" s="144"/>
      <c r="E29" s="146"/>
      <c r="F29" s="144"/>
      <c r="G29" s="117"/>
      <c r="H29" s="133"/>
      <c r="I29" s="117"/>
      <c r="J29" s="133"/>
      <c r="K29" s="42"/>
      <c r="L29" s="115"/>
      <c r="M29" s="134"/>
      <c r="N29" s="114"/>
      <c r="O29" s="133"/>
      <c r="P29" s="117"/>
      <c r="Q29" s="113"/>
      <c r="AE29">
        <v>0</v>
      </c>
      <c r="AF29">
        <v>0</v>
      </c>
      <c r="AG29">
        <v>0</v>
      </c>
      <c r="AH29">
        <v>0</v>
      </c>
      <c r="AI29">
        <v>0</v>
      </c>
    </row>
    <row r="30" spans="1:35" ht="15">
      <c r="A30" s="117" t="s">
        <v>421</v>
      </c>
      <c r="B30" s="119">
        <v>416</v>
      </c>
      <c r="C30" s="147">
        <v>407</v>
      </c>
      <c r="D30" s="144"/>
      <c r="E30" s="147">
        <v>390</v>
      </c>
      <c r="F30" s="144"/>
      <c r="G30" s="118"/>
      <c r="H30" s="133"/>
      <c r="I30" s="118"/>
      <c r="J30" s="133"/>
      <c r="K30" s="42"/>
      <c r="L30" s="115"/>
      <c r="M30" s="111"/>
      <c r="N30" s="114"/>
      <c r="O30" s="133"/>
      <c r="P30" s="117"/>
      <c r="Q30" s="113"/>
      <c r="AE30" t="e">
        <v>#REF!</v>
      </c>
      <c r="AF30" t="e">
        <v>#REF!</v>
      </c>
      <c r="AG30" t="e">
        <v>#REF!</v>
      </c>
      <c r="AH30" t="e">
        <v>#REF!</v>
      </c>
      <c r="AI30" t="e">
        <v>#REF!</v>
      </c>
    </row>
    <row r="31" spans="1:35" ht="15">
      <c r="A31" s="117" t="s">
        <v>422</v>
      </c>
      <c r="B31" s="144">
        <v>417</v>
      </c>
      <c r="C31" s="147">
        <v>408</v>
      </c>
      <c r="D31" s="144"/>
      <c r="E31" s="147">
        <v>391</v>
      </c>
      <c r="F31" s="144"/>
      <c r="G31" s="118"/>
      <c r="H31" s="133"/>
      <c r="I31" s="118"/>
      <c r="J31" s="133"/>
      <c r="K31" s="42"/>
      <c r="L31" s="115"/>
      <c r="M31" s="39"/>
      <c r="N31" s="114"/>
      <c r="O31" s="133"/>
      <c r="P31" s="118"/>
      <c r="Q31" s="113"/>
      <c r="AE31">
        <v>0.2</v>
      </c>
      <c r="AF31">
        <v>0.21</v>
      </c>
      <c r="AG31">
        <v>0.22</v>
      </c>
      <c r="AH31">
        <v>0.23</v>
      </c>
      <c r="AI31">
        <v>0.24</v>
      </c>
    </row>
    <row r="32" spans="1:17" ht="15">
      <c r="A32" s="118"/>
      <c r="B32" s="119"/>
      <c r="C32" s="147"/>
      <c r="D32" s="144"/>
      <c r="E32" s="147"/>
      <c r="F32" s="144"/>
      <c r="G32" s="118"/>
      <c r="H32" s="133"/>
      <c r="I32" s="118"/>
      <c r="J32" s="133"/>
      <c r="K32" s="42"/>
      <c r="L32" s="115"/>
      <c r="M32" s="39"/>
      <c r="N32" s="114"/>
      <c r="O32" s="133"/>
      <c r="P32" s="119"/>
      <c r="Q32" s="110"/>
    </row>
    <row r="33" spans="1:35" ht="15">
      <c r="A33" s="118" t="s">
        <v>436</v>
      </c>
      <c r="B33" s="119"/>
      <c r="C33" s="147"/>
      <c r="D33" s="144"/>
      <c r="E33" s="147">
        <v>425</v>
      </c>
      <c r="F33" s="144">
        <v>399</v>
      </c>
      <c r="G33" s="118"/>
      <c r="H33" s="133"/>
      <c r="I33" s="118"/>
      <c r="J33" s="133"/>
      <c r="K33" s="42"/>
      <c r="L33" s="115"/>
      <c r="M33" s="39"/>
      <c r="N33" s="114"/>
      <c r="O33" s="133"/>
      <c r="P33" s="118"/>
      <c r="Q33" s="113"/>
      <c r="AE33" t="e">
        <v>#REF!</v>
      </c>
      <c r="AF33" t="e">
        <v>#REF!</v>
      </c>
      <c r="AG33" t="e">
        <v>#REF!</v>
      </c>
      <c r="AH33" t="e">
        <v>#REF!</v>
      </c>
      <c r="AI33" t="e">
        <v>#REF!</v>
      </c>
    </row>
    <row r="34" spans="1:35" ht="15">
      <c r="A34" s="118" t="s">
        <v>437</v>
      </c>
      <c r="B34" s="119"/>
      <c r="C34" s="147"/>
      <c r="D34" s="144"/>
      <c r="E34" s="147">
        <v>426</v>
      </c>
      <c r="F34" s="144">
        <v>400</v>
      </c>
      <c r="G34" s="118"/>
      <c r="H34" s="133"/>
      <c r="I34" s="118"/>
      <c r="J34" s="133"/>
      <c r="K34" s="111"/>
      <c r="L34" s="115"/>
      <c r="M34" s="135"/>
      <c r="N34" s="133"/>
      <c r="O34" s="133"/>
      <c r="P34" s="118"/>
      <c r="Q34" s="113"/>
      <c r="AE34" t="e">
        <v>#REF!</v>
      </c>
      <c r="AF34" t="e">
        <v>#REF!</v>
      </c>
      <c r="AG34" t="e">
        <v>#REF!</v>
      </c>
      <c r="AH34" t="e">
        <v>#REF!</v>
      </c>
      <c r="AI34" t="e">
        <v>#REF!</v>
      </c>
    </row>
    <row r="35" spans="1:35" ht="15">
      <c r="A35" s="118"/>
      <c r="B35" s="133"/>
      <c r="C35" s="118"/>
      <c r="D35" s="133"/>
      <c r="E35" s="118"/>
      <c r="F35" s="133"/>
      <c r="G35" s="118"/>
      <c r="H35" s="133"/>
      <c r="I35" s="118"/>
      <c r="J35" s="133"/>
      <c r="K35" s="111"/>
      <c r="L35" s="115"/>
      <c r="M35" s="133"/>
      <c r="N35" s="133"/>
      <c r="O35" s="133"/>
      <c r="P35" s="118"/>
      <c r="Q35" s="113"/>
      <c r="AE35" t="e">
        <f>SUM(AE33,AE34)</f>
        <v>#REF!</v>
      </c>
      <c r="AF35" t="e">
        <f>SUM(AF33,AF34)</f>
        <v>#REF!</v>
      </c>
      <c r="AG35" t="e">
        <f>SUM(AG33,AG34)</f>
        <v>#REF!</v>
      </c>
      <c r="AH35" t="e">
        <f>SUM(AH33,AH34)</f>
        <v>#REF!</v>
      </c>
      <c r="AI35" t="e">
        <f>SUM(AI33,AI34)</f>
        <v>#REF!</v>
      </c>
    </row>
    <row r="36" spans="1:17" ht="15">
      <c r="A36" s="118"/>
      <c r="B36" s="113"/>
      <c r="C36" s="118"/>
      <c r="D36" s="133"/>
      <c r="E36" s="118"/>
      <c r="F36" s="133"/>
      <c r="G36" s="118"/>
      <c r="H36" s="133"/>
      <c r="I36" s="118"/>
      <c r="J36" s="133"/>
      <c r="K36" s="111"/>
      <c r="L36" s="115"/>
      <c r="M36" s="133"/>
      <c r="N36" s="133"/>
      <c r="O36" s="133"/>
      <c r="P36" s="118"/>
      <c r="Q36" s="110"/>
    </row>
    <row r="37" spans="1:35" ht="15">
      <c r="A37" s="118"/>
      <c r="B37" s="113"/>
      <c r="C37" s="118"/>
      <c r="D37" s="133"/>
      <c r="E37" s="118"/>
      <c r="F37" s="133"/>
      <c r="G37" s="118"/>
      <c r="H37" s="133"/>
      <c r="I37" s="118"/>
      <c r="J37" s="133"/>
      <c r="K37" s="133"/>
      <c r="L37" s="133"/>
      <c r="M37" s="133"/>
      <c r="N37" s="133"/>
      <c r="O37" s="133"/>
      <c r="P37" s="118"/>
      <c r="Q37" s="113"/>
      <c r="AE37">
        <v>1.0140954290531952</v>
      </c>
      <c r="AF37">
        <v>1.0685565045451881</v>
      </c>
      <c r="AG37">
        <v>1.1257364774766971</v>
      </c>
      <c r="AH37">
        <v>1.1856293925744439</v>
      </c>
      <c r="AI37">
        <v>1.2482294697268241</v>
      </c>
    </row>
    <row r="38" spans="1:17" ht="15">
      <c r="A38" s="118"/>
      <c r="B38" s="113"/>
      <c r="C38" s="111"/>
      <c r="D38" s="133"/>
      <c r="E38" s="111"/>
      <c r="F38" s="133"/>
      <c r="G38" s="111"/>
      <c r="H38" s="133"/>
      <c r="I38" s="111"/>
      <c r="J38" s="133"/>
      <c r="K38" s="133"/>
      <c r="L38" s="133"/>
      <c r="M38" s="133"/>
      <c r="N38" s="133"/>
      <c r="O38" s="133"/>
      <c r="P38" s="118"/>
      <c r="Q38" s="113"/>
    </row>
    <row r="39" spans="1:17" ht="15">
      <c r="A39" s="119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18"/>
      <c r="Q39" s="113"/>
    </row>
    <row r="40" spans="1:17" ht="15">
      <c r="A40" s="118"/>
      <c r="B40" s="113"/>
      <c r="C40" s="111"/>
      <c r="D40" s="133"/>
      <c r="E40" s="111"/>
      <c r="F40" s="133"/>
      <c r="G40" s="111"/>
      <c r="H40" s="133"/>
      <c r="I40" s="111"/>
      <c r="J40" s="133"/>
      <c r="K40" s="133"/>
      <c r="L40" s="133"/>
      <c r="M40" s="133"/>
      <c r="N40" s="133"/>
      <c r="O40" s="133"/>
      <c r="P40" s="119"/>
      <c r="Q40" s="110"/>
    </row>
    <row r="42" s="82" customFormat="1" ht="12.75"/>
    <row r="43" s="82" customFormat="1" ht="12.75"/>
    <row r="44" s="82" customFormat="1" ht="12.75"/>
    <row r="45" s="82" customFormat="1" ht="12.75">
      <c r="A45" s="82" t="s">
        <v>366</v>
      </c>
    </row>
    <row r="46" s="82" customFormat="1" ht="12.75"/>
    <row r="47" s="82" customFormat="1" ht="12.75"/>
    <row r="48" s="82" customFormat="1" ht="12.75"/>
    <row r="49" s="82" customFormat="1" ht="12.75"/>
    <row r="50" s="82" customFormat="1" ht="12.75"/>
    <row r="51" s="82" customFormat="1" ht="12.75"/>
    <row r="52" s="82" customFormat="1" ht="12.75"/>
    <row r="53" s="82" customFormat="1" ht="12.75"/>
    <row r="54" s="82" customFormat="1" ht="12.75"/>
    <row r="55" s="82" customFormat="1" ht="12.75"/>
    <row r="56" s="82" customFormat="1" ht="12.75"/>
    <row r="57" s="82" customFormat="1" ht="12.75"/>
    <row r="58" s="82" customFormat="1" ht="12.75"/>
    <row r="59" s="82" customFormat="1" ht="12.75"/>
    <row r="60" s="82" customFormat="1" ht="12.75"/>
    <row r="61" s="82" customFormat="1" ht="12.75"/>
    <row r="62" s="82" customFormat="1" ht="12.75"/>
    <row r="63" s="82" customFormat="1" ht="12.75"/>
    <row r="64" s="82" customFormat="1" ht="12.75"/>
    <row r="65" s="82" customFormat="1" ht="12.75"/>
    <row r="66" s="82" customFormat="1" ht="12.75"/>
    <row r="67" s="82" customFormat="1" ht="12.75"/>
    <row r="68" s="82" customFormat="1" ht="12.75"/>
    <row r="69" s="82" customFormat="1" ht="12.75"/>
    <row r="70" s="82" customFormat="1" ht="12.75"/>
    <row r="71" s="82" customFormat="1" ht="12.75"/>
    <row r="72" s="82" customFormat="1" ht="12.75"/>
    <row r="73" s="82" customFormat="1" ht="12.75"/>
    <row r="74" s="82" customFormat="1" ht="12.75"/>
    <row r="75" s="82" customFormat="1" ht="12.75"/>
    <row r="76" s="82" customFormat="1" ht="12.75"/>
    <row r="77" s="82" customFormat="1" ht="12.75"/>
    <row r="78" s="82" customFormat="1" ht="12.75"/>
    <row r="79" s="82" customFormat="1" ht="12.75"/>
    <row r="80" s="82" customFormat="1" ht="12.75"/>
    <row r="81" s="82" customFormat="1" ht="12.75"/>
    <row r="82" s="82" customFormat="1" ht="12.75"/>
    <row r="83" s="82" customFormat="1" ht="12.75"/>
    <row r="84" s="82" customFormat="1" ht="12.75"/>
    <row r="85" s="82" customFormat="1" ht="12.75"/>
    <row r="86" s="82" customFormat="1" ht="12.75"/>
    <row r="87" s="82" customFormat="1" ht="12.75"/>
    <row r="88" s="82" customFormat="1" ht="12.75"/>
    <row r="89" s="82" customFormat="1" ht="12.75"/>
    <row r="90" s="82" customFormat="1" ht="12.75"/>
    <row r="91" s="82" customFormat="1" ht="12.75"/>
    <row r="92" s="82" customFormat="1" ht="12.75"/>
    <row r="93" s="82" customFormat="1" ht="12.75"/>
    <row r="94" s="82" customFormat="1" ht="12.75"/>
    <row r="95" s="82" customFormat="1" ht="12.75"/>
    <row r="96" s="82" customFormat="1" ht="12.75"/>
    <row r="97" s="82" customFormat="1" ht="12.75"/>
    <row r="98" s="82" customFormat="1" ht="12.75"/>
    <row r="99" s="82" customFormat="1" ht="12.75"/>
    <row r="100" s="82" customFormat="1" ht="12.75"/>
    <row r="101" s="82" customFormat="1" ht="12.75"/>
    <row r="102" s="82" customFormat="1" ht="12.75"/>
    <row r="103" s="82" customFormat="1" ht="12.75"/>
    <row r="104" s="82" customFormat="1" ht="12.75"/>
    <row r="105" s="82" customFormat="1" ht="12.75"/>
    <row r="106" s="82" customFormat="1" ht="12.75"/>
    <row r="107" s="82" customFormat="1" ht="12.75"/>
    <row r="108" s="82" customFormat="1" ht="12.75"/>
    <row r="109" s="82" customFormat="1" ht="12.75"/>
    <row r="110" s="82" customFormat="1" ht="12.75"/>
    <row r="111" s="82" customFormat="1" ht="12.75"/>
    <row r="112" s="82" customFormat="1" ht="12.75"/>
    <row r="113" s="82" customFormat="1" ht="12.75"/>
    <row r="114" s="82" customFormat="1" ht="12.75"/>
    <row r="115" s="82" customFormat="1" ht="12.75"/>
    <row r="116" s="82" customFormat="1" ht="12.75"/>
    <row r="117" s="82" customFormat="1" ht="12.75"/>
    <row r="118" s="82" customFormat="1" ht="12.75"/>
    <row r="119" s="82" customFormat="1" ht="12.75"/>
    <row r="120" s="82" customFormat="1" ht="12.75"/>
    <row r="121" s="82" customFormat="1" ht="12.75"/>
    <row r="122" s="82" customFormat="1" ht="12.75"/>
    <row r="123" s="82" customFormat="1" ht="12.75"/>
    <row r="124" s="82" customFormat="1" ht="12.75"/>
    <row r="125" s="82" customFormat="1" ht="12.75"/>
    <row r="126" s="82" customFormat="1" ht="12.75"/>
    <row r="127" s="82" customFormat="1" ht="12.75"/>
    <row r="128" s="82" customFormat="1" ht="12.75"/>
    <row r="129" s="82" customFormat="1" ht="12.75"/>
    <row r="130" s="82" customFormat="1" ht="12.75"/>
    <row r="131" s="82" customFormat="1" ht="12.75"/>
    <row r="132" s="82" customFormat="1" ht="12.75"/>
    <row r="133" s="82" customFormat="1" ht="12.75"/>
    <row r="134" s="82" customFormat="1" ht="12.75"/>
    <row r="135" s="82" customFormat="1" ht="12.75"/>
    <row r="136" s="82" customFormat="1" ht="12.75"/>
    <row r="137" s="82" customFormat="1" ht="12.75"/>
    <row r="138" s="82" customFormat="1" ht="12.75"/>
    <row r="139" s="82" customFormat="1" ht="12.75"/>
    <row r="140" s="82" customFormat="1" ht="12.75"/>
    <row r="141" s="82" customFormat="1" ht="12.75"/>
    <row r="142" s="82" customFormat="1" ht="12.75"/>
    <row r="143" s="82" customFormat="1" ht="12.75"/>
    <row r="144" s="82" customFormat="1" ht="12.75"/>
    <row r="145" s="82" customFormat="1" ht="12.75"/>
    <row r="146" s="82" customFormat="1" ht="12.75"/>
    <row r="147" s="82" customFormat="1" ht="12.75"/>
    <row r="148" s="82" customFormat="1" ht="12.75"/>
    <row r="149" s="82" customFormat="1" ht="12.75"/>
    <row r="150" s="82" customFormat="1" ht="12.75"/>
    <row r="151" s="82" customFormat="1" ht="12.75"/>
    <row r="152" s="82" customFormat="1" ht="12.75"/>
    <row r="153" s="82" customFormat="1" ht="12.75"/>
    <row r="154" s="82" customFormat="1" ht="12.75"/>
    <row r="155" s="82" customFormat="1" ht="12.75"/>
    <row r="156" s="82" customFormat="1" ht="12.75"/>
    <row r="157" s="82" customFormat="1" ht="12.75"/>
    <row r="158" s="82" customFormat="1" ht="12.75"/>
    <row r="159" s="82" customFormat="1" ht="12.75"/>
    <row r="160" s="82" customFormat="1" ht="12.75"/>
    <row r="161" s="82" customFormat="1" ht="12.75"/>
    <row r="162" s="82" customFormat="1" ht="12.75"/>
    <row r="163" s="82" customFormat="1" ht="12.75"/>
    <row r="164" s="82" customFormat="1" ht="12.75"/>
    <row r="165" s="82" customFormat="1" ht="12.75"/>
    <row r="166" s="82" customFormat="1" ht="12.75"/>
    <row r="167" s="82" customFormat="1" ht="12.75"/>
    <row r="168" s="82" customFormat="1" ht="12.75"/>
    <row r="169" s="82" customFormat="1" ht="12.75"/>
    <row r="170" s="82" customFormat="1" ht="12.75"/>
    <row r="171" s="82" customFormat="1" ht="12.75"/>
    <row r="172" s="82" customFormat="1" ht="12.75"/>
    <row r="173" s="82" customFormat="1" ht="12.75"/>
    <row r="174" s="82" customFormat="1" ht="12.75"/>
    <row r="175" s="82" customFormat="1" ht="12.75"/>
    <row r="176" s="82" customFormat="1" ht="12.75"/>
    <row r="177" s="82" customFormat="1" ht="12.75"/>
    <row r="178" s="82" customFormat="1" ht="12.75"/>
    <row r="179" s="82" customFormat="1" ht="12.75"/>
    <row r="180" s="82" customFormat="1" ht="12.75"/>
    <row r="181" s="82" customFormat="1" ht="12.75"/>
    <row r="182" s="82" customFormat="1" ht="12.75"/>
    <row r="183" s="82" customFormat="1" ht="12.75"/>
    <row r="184" s="82" customFormat="1" ht="12.75"/>
    <row r="185" s="82" customFormat="1" ht="12.75"/>
    <row r="186" s="82" customFormat="1" ht="12.75"/>
    <row r="187" s="82" customFormat="1" ht="12.75"/>
    <row r="188" s="82" customFormat="1" ht="12.75"/>
    <row r="189" s="82" customFormat="1" ht="12.75"/>
    <row r="190" s="82" customFormat="1" ht="12.75"/>
    <row r="191" s="82" customFormat="1" ht="12.75"/>
    <row r="192" s="82" customFormat="1" ht="12.75"/>
    <row r="193" s="82" customFormat="1" ht="12.75"/>
    <row r="194" s="82" customFormat="1" ht="12.75"/>
    <row r="195" s="82" customFormat="1" ht="12.75"/>
    <row r="196" s="82" customFormat="1" ht="12.75"/>
    <row r="197" s="82" customFormat="1" ht="12.75"/>
    <row r="198" s="82" customFormat="1" ht="12.75"/>
    <row r="199" s="82" customFormat="1" ht="12.75"/>
    <row r="200" s="82" customFormat="1" ht="12.75"/>
    <row r="201" s="82" customFormat="1" ht="12.75"/>
    <row r="202" s="82" customFormat="1" ht="12.75"/>
    <row r="203" s="82" customFormat="1" ht="12.75"/>
    <row r="204" s="82" customFormat="1" ht="12.75"/>
    <row r="205" s="82" customFormat="1" ht="12.75"/>
    <row r="206" s="82" customFormat="1" ht="12.75"/>
    <row r="207" s="82" customFormat="1" ht="12.75"/>
    <row r="208" s="82" customFormat="1" ht="12.75"/>
    <row r="209" s="82" customFormat="1" ht="12.75"/>
    <row r="210" s="82" customFormat="1" ht="12.75"/>
    <row r="211" s="82" customFormat="1" ht="12.75"/>
    <row r="212" s="82" customFormat="1" ht="12.75"/>
    <row r="213" s="82" customFormat="1" ht="12.75"/>
    <row r="214" s="82" customFormat="1" ht="12.75"/>
    <row r="215" s="82" customFormat="1" ht="12.75"/>
    <row r="216" s="82" customFormat="1" ht="12.75"/>
    <row r="217" s="82" customFormat="1" ht="12.75"/>
    <row r="218" s="82" customFormat="1" ht="12.75"/>
    <row r="219" s="82" customFormat="1" ht="12.75"/>
    <row r="220" s="82" customFormat="1" ht="12.75"/>
    <row r="221" s="82" customFormat="1" ht="12.75"/>
    <row r="222" s="82" customFormat="1" ht="12.75"/>
    <row r="223" s="82" customFormat="1" ht="12.75"/>
    <row r="224" s="82" customFormat="1" ht="12.75"/>
    <row r="225" s="82" customFormat="1" ht="12.75"/>
    <row r="226" s="82" customFormat="1" ht="12.75"/>
    <row r="227" s="82" customFormat="1" ht="12.75"/>
    <row r="228" s="82" customFormat="1" ht="12.75"/>
    <row r="229" s="82" customFormat="1" ht="12.75"/>
    <row r="230" s="82" customFormat="1" ht="12.75"/>
    <row r="231" s="82" customFormat="1" ht="12.75"/>
    <row r="232" s="82" customFormat="1" ht="12.75"/>
    <row r="233" s="82" customFormat="1" ht="12.75"/>
    <row r="234" s="82" customFormat="1" ht="12.75"/>
    <row r="235" s="82" customFormat="1" ht="12.75"/>
    <row r="236" s="82" customFormat="1" ht="12.75"/>
    <row r="237" s="82" customFormat="1" ht="12.75"/>
    <row r="238" s="82" customFormat="1" ht="12.75"/>
    <row r="239" s="82" customFormat="1" ht="12.75"/>
    <row r="240" s="82" customFormat="1" ht="12.75"/>
    <row r="241" s="82" customFormat="1" ht="12.75"/>
    <row r="242" s="82" customFormat="1" ht="12.75"/>
    <row r="243" s="82" customFormat="1" ht="12.75"/>
    <row r="244" s="82" customFormat="1" ht="12.75"/>
    <row r="245" s="82" customFormat="1" ht="12.75"/>
    <row r="246" s="82" customFormat="1" ht="12.75"/>
    <row r="247" s="82" customFormat="1" ht="12.75"/>
    <row r="248" s="82" customFormat="1" ht="12.75"/>
    <row r="249" s="82" customFormat="1" ht="12.75"/>
    <row r="250" s="82" customFormat="1" ht="12.75"/>
    <row r="251" s="82" customFormat="1" ht="12.75"/>
    <row r="252" s="82" customFormat="1" ht="12.75"/>
    <row r="253" s="82" customFormat="1" ht="12.75"/>
    <row r="254" s="82" customFormat="1" ht="12.75"/>
    <row r="255" s="82" customFormat="1" ht="12.75"/>
    <row r="256" s="82" customFormat="1" ht="12.75"/>
    <row r="257" s="82" customFormat="1" ht="12.75"/>
    <row r="258" s="82" customFormat="1" ht="12.75"/>
    <row r="259" s="82" customFormat="1" ht="12.75"/>
    <row r="260" s="82" customFormat="1" ht="12.75"/>
    <row r="261" s="82" customFormat="1" ht="12.75"/>
    <row r="262" s="82" customFormat="1" ht="12.75"/>
    <row r="263" s="82" customFormat="1" ht="12.75"/>
    <row r="264" s="82" customFormat="1" ht="12.75"/>
    <row r="265" s="82" customFormat="1" ht="12.75"/>
    <row r="266" s="82" customFormat="1" ht="12.75"/>
    <row r="267" s="82" customFormat="1" ht="12.75"/>
    <row r="268" s="82" customFormat="1" ht="12.75"/>
    <row r="269" s="82" customFormat="1" ht="12.75"/>
    <row r="270" s="82" customFormat="1" ht="12.75"/>
    <row r="271" s="82" customFormat="1" ht="12.75"/>
    <row r="272" s="82" customFormat="1" ht="12.75"/>
    <row r="273" s="82" customFormat="1" ht="12.75"/>
    <row r="274" s="82" customFormat="1" ht="12.75"/>
    <row r="275" s="82" customFormat="1" ht="12.75"/>
    <row r="276" s="82" customFormat="1" ht="12.75"/>
    <row r="277" s="82" customFormat="1" ht="12.75"/>
    <row r="278" s="82" customFormat="1" ht="12.75"/>
    <row r="279" s="82" customFormat="1" ht="12.75"/>
    <row r="280" s="82" customFormat="1" ht="12.75"/>
    <row r="281" s="82" customFormat="1" ht="12.75"/>
    <row r="282" s="82" customFormat="1" ht="12.75"/>
    <row r="283" s="82" customFormat="1" ht="12.75"/>
    <row r="284" s="82" customFormat="1" ht="12.75"/>
    <row r="285" s="82" customFormat="1" ht="12.75"/>
    <row r="286" s="82" customFormat="1" ht="12.75"/>
    <row r="287" s="82" customFormat="1" ht="12.75"/>
    <row r="288" s="82" customFormat="1" ht="12.75"/>
    <row r="289" s="82" customFormat="1" ht="12.75"/>
    <row r="290" s="82" customFormat="1" ht="12.75"/>
    <row r="291" s="82" customFormat="1" ht="12.75"/>
    <row r="292" s="82" customFormat="1" ht="12.75"/>
    <row r="293" s="82" customFormat="1" ht="12.75"/>
    <row r="294" s="82" customFormat="1" ht="12.75"/>
    <row r="295" s="82" customFormat="1" ht="12.75"/>
    <row r="296" s="82" customFormat="1" ht="12.75"/>
    <row r="297" s="82" customFormat="1" ht="12.75"/>
    <row r="298" s="82" customFormat="1" ht="12.75"/>
    <row r="299" s="82" customFormat="1" ht="12.75"/>
    <row r="300" s="82" customFormat="1" ht="12.75"/>
    <row r="301" s="82" customFormat="1" ht="12.75"/>
    <row r="302" s="82" customFormat="1" ht="12.75"/>
    <row r="303" s="82" customFormat="1" ht="12.75"/>
    <row r="304" s="82" customFormat="1" ht="12.75"/>
    <row r="305" s="82" customFormat="1" ht="12.75"/>
    <row r="306" s="82" customFormat="1" ht="12.75"/>
    <row r="307" s="82" customFormat="1" ht="12.75"/>
    <row r="308" s="82" customFormat="1" ht="12.75"/>
    <row r="309" s="82" customFormat="1" ht="12.75"/>
    <row r="310" s="82" customFormat="1" ht="12.75"/>
    <row r="311" s="82" customFormat="1" ht="12.75"/>
    <row r="312" s="82" customFormat="1" ht="12.75"/>
    <row r="313" s="82" customFormat="1" ht="12.75"/>
    <row r="314" s="82" customFormat="1" ht="12.75"/>
    <row r="315" s="82" customFormat="1" ht="12.75"/>
    <row r="316" s="82" customFormat="1" ht="12.75"/>
    <row r="317" s="82" customFormat="1" ht="12.75"/>
    <row r="318" s="82" customFormat="1" ht="12.75"/>
    <row r="319" s="82" customFormat="1" ht="12.75"/>
    <row r="320" s="82" customFormat="1" ht="12.75"/>
    <row r="321" s="82" customFormat="1" ht="12.75"/>
    <row r="322" s="82" customFormat="1" ht="12.75"/>
    <row r="323" s="82" customFormat="1" ht="12.75"/>
    <row r="324" s="82" customFormat="1" ht="12.75"/>
    <row r="325" s="82" customFormat="1" ht="12.75"/>
    <row r="326" s="82" customFormat="1" ht="12.75"/>
    <row r="327" s="82" customFormat="1" ht="12.75"/>
    <row r="328" s="82" customFormat="1" ht="12.75"/>
    <row r="329" s="82" customFormat="1" ht="12.75"/>
    <row r="330" s="82" customFormat="1" ht="12.75"/>
    <row r="331" s="82" customFormat="1" ht="12.75"/>
    <row r="332" s="82" customFormat="1" ht="12.75"/>
    <row r="333" s="82" customFormat="1" ht="12.75"/>
    <row r="334" s="82" customFormat="1" ht="12.75"/>
    <row r="335" s="82" customFormat="1" ht="12.75"/>
    <row r="336" s="82" customFormat="1" ht="12.75"/>
    <row r="337" s="82" customFormat="1" ht="12.75"/>
    <row r="338" s="82" customFormat="1" ht="12.75"/>
    <row r="339" s="82" customFormat="1" ht="12.75"/>
    <row r="340" s="82" customFormat="1" ht="12.75"/>
    <row r="341" s="82" customFormat="1" ht="12.75"/>
    <row r="342" s="82" customFormat="1" ht="12.75"/>
    <row r="343" s="82" customFormat="1" ht="12.75"/>
    <row r="344" s="82" customFormat="1" ht="12.75"/>
    <row r="345" s="82" customFormat="1" ht="12.75"/>
    <row r="346" s="82" customFormat="1" ht="12.75"/>
    <row r="347" s="82" customFormat="1" ht="12.75"/>
    <row r="348" s="82" customFormat="1" ht="12.75"/>
    <row r="349" s="82" customFormat="1" ht="12.75"/>
    <row r="350" s="82" customFormat="1" ht="12.75"/>
    <row r="351" s="82" customFormat="1" ht="12.75"/>
    <row r="352" s="82" customFormat="1" ht="12.75"/>
    <row r="353" s="82" customFormat="1" ht="12.75"/>
    <row r="354" s="82" customFormat="1" ht="12.75"/>
    <row r="355" s="82" customFormat="1" ht="12.75"/>
    <row r="356" s="82" customFormat="1" ht="12.75"/>
    <row r="357" s="82" customFormat="1" ht="12.75"/>
    <row r="358" s="82" customFormat="1" ht="12.75"/>
    <row r="359" s="82" customFormat="1" ht="12.75"/>
    <row r="360" s="82" customFormat="1" ht="12.75"/>
    <row r="361" s="82" customFormat="1" ht="12.75"/>
    <row r="362" s="82" customFormat="1" ht="12.75"/>
    <row r="363" s="82" customFormat="1" ht="12.75"/>
    <row r="364" s="82" customFormat="1" ht="12.75"/>
    <row r="365" s="82" customFormat="1" ht="12.75"/>
    <row r="366" s="82" customFormat="1" ht="12.75"/>
    <row r="367" s="82" customFormat="1" ht="12.75"/>
    <row r="368" s="82" customFormat="1" ht="12.75"/>
    <row r="369" s="82" customFormat="1" ht="12.75"/>
    <row r="370" s="82" customFormat="1" ht="12.75"/>
    <row r="371" s="82" customFormat="1" ht="12.75"/>
    <row r="372" s="82" customFormat="1" ht="12.75"/>
    <row r="373" s="82" customFormat="1" ht="12.75"/>
    <row r="374" s="82" customFormat="1" ht="12.75"/>
    <row r="375" s="82" customFormat="1" ht="12.75"/>
    <row r="376" s="82" customFormat="1" ht="12.75"/>
    <row r="377" s="82" customFormat="1" ht="12.75"/>
    <row r="378" s="82" customFormat="1" ht="12.75"/>
    <row r="379" s="82" customFormat="1" ht="12.75"/>
    <row r="380" s="82" customFormat="1" ht="12.75"/>
    <row r="381" s="82" customFormat="1" ht="12.75"/>
    <row r="382" s="82" customFormat="1" ht="12.75"/>
    <row r="383" s="82" customFormat="1" ht="12.75"/>
    <row r="384" s="82" customFormat="1" ht="12.75"/>
    <row r="385" s="82" customFormat="1" ht="12.75"/>
    <row r="386" s="82" customFormat="1" ht="12.75"/>
    <row r="387" s="82" customFormat="1" ht="12.75"/>
    <row r="388" s="82" customFormat="1" ht="12.75"/>
    <row r="389" s="82" customFormat="1" ht="12.75"/>
    <row r="390" s="82" customFormat="1" ht="12.75"/>
    <row r="391" s="82" customFormat="1" ht="12.75"/>
    <row r="392" s="82" customFormat="1" ht="12.75"/>
    <row r="393" s="82" customFormat="1" ht="12.75"/>
    <row r="394" s="82" customFormat="1" ht="12.75"/>
    <row r="395" s="82" customFormat="1" ht="12.75"/>
    <row r="396" s="82" customFormat="1" ht="12.75"/>
    <row r="397" s="82" customFormat="1" ht="12.75"/>
    <row r="398" s="82" customFormat="1" ht="12.75"/>
    <row r="399" s="82" customFormat="1" ht="12.75"/>
    <row r="400" s="82" customFormat="1" ht="12.75"/>
    <row r="401" s="82" customFormat="1" ht="12.75"/>
    <row r="402" s="82" customFormat="1" ht="12.75"/>
    <row r="403" s="82" customFormat="1" ht="12.75"/>
    <row r="404" s="82" customFormat="1" ht="12.75"/>
    <row r="405" s="82" customFormat="1" ht="12.75"/>
    <row r="406" s="82" customFormat="1" ht="12.75"/>
    <row r="407" s="82" customFormat="1" ht="12.75"/>
    <row r="408" s="82" customFormat="1" ht="12.75"/>
    <row r="409" s="82" customFormat="1" ht="12.75"/>
    <row r="410" s="82" customFormat="1" ht="12.75"/>
    <row r="411" s="82" customFormat="1" ht="12.75"/>
    <row r="412" s="82" customFormat="1" ht="12.75"/>
    <row r="413" s="82" customFormat="1" ht="12.75"/>
    <row r="414" s="82" customFormat="1" ht="12.75"/>
    <row r="415" s="82" customFormat="1" ht="12.75"/>
    <row r="416" s="82" customFormat="1" ht="12.75"/>
    <row r="417" s="82" customFormat="1" ht="12.75"/>
    <row r="418" s="82" customFormat="1" ht="12.75"/>
    <row r="419" s="82" customFormat="1" ht="12.75"/>
    <row r="420" s="82" customFormat="1" ht="12.75"/>
    <row r="421" s="82" customFormat="1" ht="12.75"/>
    <row r="422" s="82" customFormat="1" ht="12.75"/>
    <row r="423" s="82" customFormat="1" ht="12.75"/>
    <row r="424" s="82" customFormat="1" ht="12.75"/>
    <row r="425" s="82" customFormat="1" ht="12.75"/>
    <row r="426" s="82" customFormat="1" ht="12.75"/>
    <row r="427" s="82" customFormat="1" ht="12.75"/>
    <row r="428" s="82" customFormat="1" ht="12.75"/>
    <row r="429" s="82" customFormat="1" ht="12.75"/>
    <row r="430" s="82" customFormat="1" ht="12.75"/>
    <row r="431" s="82" customFormat="1" ht="12.75"/>
    <row r="432" s="82" customFormat="1" ht="12.75"/>
    <row r="433" s="82" customFormat="1" ht="12.75"/>
    <row r="434" s="82" customFormat="1" ht="12.75"/>
    <row r="435" s="82" customFormat="1" ht="12.75"/>
    <row r="436" s="82" customFormat="1" ht="12.75"/>
    <row r="437" s="82" customFormat="1" ht="12.75"/>
    <row r="438" s="82" customFormat="1" ht="12.75"/>
    <row r="439" s="82" customFormat="1" ht="12.75"/>
    <row r="440" s="82" customFormat="1" ht="12.75"/>
    <row r="441" s="82" customFormat="1" ht="12.75"/>
    <row r="442" s="82" customFormat="1" ht="12.75"/>
    <row r="443" s="82" customFormat="1" ht="12.75"/>
    <row r="444" s="82" customFormat="1" ht="12.75"/>
    <row r="445" s="82" customFormat="1" ht="12.75"/>
    <row r="446" s="82" customFormat="1" ht="12.75"/>
    <row r="447" s="82" customFormat="1" ht="12.75"/>
    <row r="448" s="82" customFormat="1" ht="12.75"/>
    <row r="449" s="82" customFormat="1" ht="12.75"/>
    <row r="450" s="82" customFormat="1" ht="12.75"/>
    <row r="451" s="82" customFormat="1" ht="12.75"/>
    <row r="452" s="82" customFormat="1" ht="12.75"/>
    <row r="453" s="82" customFormat="1" ht="12.75"/>
    <row r="454" s="82" customFormat="1" ht="12.75"/>
    <row r="455" s="82" customFormat="1" ht="12.75"/>
    <row r="456" s="82" customFormat="1" ht="12.75"/>
    <row r="457" s="82" customFormat="1" ht="12.75"/>
    <row r="458" s="82" customFormat="1" ht="12.75"/>
    <row r="459" s="82" customFormat="1" ht="12.75"/>
    <row r="460" s="82" customFormat="1" ht="12.75"/>
    <row r="461" s="82" customFormat="1" ht="12.75"/>
    <row r="462" s="82" customFormat="1" ht="12.75"/>
    <row r="463" s="82" customFormat="1" ht="12.75"/>
    <row r="464" s="82" customFormat="1" ht="12.75"/>
    <row r="465" s="82" customFormat="1" ht="12.75"/>
    <row r="466" s="82" customFormat="1" ht="12.75"/>
    <row r="467" s="82" customFormat="1" ht="12.75"/>
    <row r="468" s="82" customFormat="1" ht="12.75"/>
    <row r="469" s="82" customFormat="1" ht="12.75"/>
    <row r="470" s="82" customFormat="1" ht="12.75"/>
    <row r="471" s="82" customFormat="1" ht="12.75"/>
    <row r="472" s="82" customFormat="1" ht="12.75"/>
    <row r="473" s="82" customFormat="1" ht="12.75"/>
    <row r="474" s="82" customFormat="1" ht="12.75"/>
    <row r="475" s="82" customFormat="1" ht="12.75"/>
    <row r="476" s="82" customFormat="1" ht="12.75"/>
    <row r="477" s="82" customFormat="1" ht="12.75"/>
    <row r="478" s="82" customFormat="1" ht="12.75"/>
    <row r="479" s="82" customFormat="1" ht="12.75"/>
    <row r="480" s="82" customFormat="1" ht="12.75"/>
    <row r="481" s="82" customFormat="1" ht="12.75"/>
    <row r="482" s="82" customFormat="1" ht="12.75"/>
    <row r="483" s="82" customFormat="1" ht="12.75"/>
    <row r="484" s="82" customFormat="1" ht="12.75"/>
    <row r="485" s="82" customFormat="1" ht="12.75"/>
    <row r="486" s="82" customFormat="1" ht="12.75"/>
    <row r="487" s="82" customFormat="1" ht="12.75"/>
    <row r="488" s="82" customFormat="1" ht="12.75"/>
    <row r="489" s="82" customFormat="1" ht="12.75"/>
    <row r="490" s="82" customFormat="1" ht="12.75"/>
    <row r="491" s="82" customFormat="1" ht="12.75"/>
    <row r="492" s="82" customFormat="1" ht="12.75"/>
    <row r="493" s="82" customFormat="1" ht="12.75"/>
    <row r="494" s="82" customFormat="1" ht="12.75"/>
    <row r="495" s="82" customFormat="1" ht="12.75"/>
    <row r="496" s="82" customFormat="1" ht="12.75"/>
    <row r="497" s="82" customFormat="1" ht="12.75"/>
    <row r="498" s="82" customFormat="1" ht="12.75"/>
    <row r="499" s="82" customFormat="1" ht="12.75"/>
    <row r="500" s="82" customFormat="1" ht="12.75"/>
    <row r="501" s="82" customFormat="1" ht="12.75"/>
    <row r="502" s="82" customFormat="1" ht="12.75"/>
    <row r="503" s="82" customFormat="1" ht="12.75"/>
    <row r="504" s="82" customFormat="1" ht="12.75"/>
    <row r="505" s="82" customFormat="1" ht="12.75"/>
    <row r="506" s="82" customFormat="1" ht="12.75"/>
    <row r="507" s="82" customFormat="1" ht="12.75"/>
    <row r="508" s="82" customFormat="1" ht="12.75"/>
    <row r="509" s="82" customFormat="1" ht="12.75"/>
    <row r="510" s="82" customFormat="1" ht="12.75"/>
    <row r="511" s="82" customFormat="1" ht="12.75"/>
    <row r="512" s="82" customFormat="1" ht="12.75"/>
    <row r="513" s="82" customFormat="1" ht="12.75"/>
    <row r="514" s="82" customFormat="1" ht="12.75"/>
    <row r="515" s="82" customFormat="1" ht="12.75"/>
    <row r="516" s="82" customFormat="1" ht="12.75"/>
    <row r="517" s="82" customFormat="1" ht="12.75"/>
    <row r="518" s="82" customFormat="1" ht="12.75"/>
    <row r="519" s="82" customFormat="1" ht="12.75"/>
    <row r="520" s="82" customFormat="1" ht="12.75"/>
    <row r="521" s="82" customFormat="1" ht="12.75"/>
    <row r="522" s="82" customFormat="1" ht="12.75"/>
    <row r="523" s="82" customFormat="1" ht="12.75"/>
    <row r="524" s="82" customFormat="1" ht="12.75"/>
    <row r="525" s="82" customFormat="1" ht="12.75"/>
    <row r="526" s="82" customFormat="1" ht="12.75"/>
    <row r="527" s="82" customFormat="1" ht="12.75"/>
    <row r="528" s="82" customFormat="1" ht="12.75"/>
    <row r="529" s="82" customFormat="1" ht="12.75"/>
    <row r="530" s="82" customFormat="1" ht="12.75"/>
    <row r="531" s="82" customFormat="1" ht="12.75"/>
    <row r="532" s="82" customFormat="1" ht="12.75"/>
    <row r="533" s="82" customFormat="1" ht="12.75"/>
    <row r="534" s="82" customFormat="1" ht="12.75"/>
    <row r="535" s="82" customFormat="1" ht="12.75"/>
    <row r="536" s="82" customFormat="1" ht="12.75"/>
    <row r="537" s="82" customFormat="1" ht="12.75"/>
    <row r="538" s="82" customFormat="1" ht="12.75"/>
    <row r="539" s="82" customFormat="1" ht="12.75"/>
    <row r="540" s="82" customFormat="1" ht="12.75"/>
    <row r="541" s="82" customFormat="1" ht="12.75"/>
    <row r="542" s="82" customFormat="1" ht="12.75"/>
    <row r="543" s="82" customFormat="1" ht="12.75"/>
    <row r="544" s="82" customFormat="1" ht="12.75"/>
    <row r="545" s="82" customFormat="1" ht="12.75"/>
    <row r="546" s="82" customFormat="1" ht="12.75"/>
    <row r="547" s="82" customFormat="1" ht="12.75"/>
    <row r="548" s="82" customFormat="1" ht="12.75"/>
    <row r="549" s="82" customFormat="1" ht="12.75"/>
    <row r="550" s="82" customFormat="1" ht="12.75"/>
    <row r="551" s="82" customFormat="1" ht="12.75"/>
    <row r="552" s="82" customFormat="1" ht="12.75"/>
    <row r="553" s="82" customFormat="1" ht="12.75"/>
    <row r="554" s="82" customFormat="1" ht="12.75"/>
    <row r="555" s="82" customFormat="1" ht="12.75"/>
    <row r="556" s="82" customFormat="1" ht="12.75"/>
    <row r="557" s="82" customFormat="1" ht="12.75"/>
    <row r="558" s="82" customFormat="1" ht="12.75"/>
    <row r="559" s="82" customFormat="1" ht="12.75"/>
    <row r="560" s="82" customFormat="1" ht="12.75"/>
    <row r="561" s="82" customFormat="1" ht="12.75"/>
    <row r="562" s="82" customFormat="1" ht="12.75"/>
    <row r="563" s="82" customFormat="1" ht="12.75"/>
    <row r="564" s="82" customFormat="1" ht="12.75"/>
    <row r="565" s="82" customFormat="1" ht="12.75"/>
    <row r="566" s="82" customFormat="1" ht="12.75"/>
    <row r="567" s="82" customFormat="1" ht="12.75"/>
    <row r="568" s="82" customFormat="1" ht="12.75"/>
    <row r="569" s="82" customFormat="1" ht="12.75"/>
    <row r="570" s="82" customFormat="1" ht="12.75"/>
    <row r="571" s="82" customFormat="1" ht="12.75"/>
    <row r="572" s="82" customFormat="1" ht="12.75"/>
    <row r="573" s="82" customFormat="1" ht="12.75"/>
    <row r="574" s="82" customFormat="1" ht="12.75"/>
    <row r="575" s="82" customFormat="1" ht="12.75"/>
    <row r="576" s="82" customFormat="1" ht="12.75"/>
    <row r="577" s="82" customFormat="1" ht="12.75"/>
    <row r="578" s="82" customFormat="1" ht="12.75"/>
    <row r="579" s="82" customFormat="1" ht="12.75"/>
    <row r="580" s="82" customFormat="1" ht="12.75"/>
    <row r="581" s="82" customFormat="1" ht="12.75"/>
    <row r="582" s="82" customFormat="1" ht="12.75"/>
    <row r="583" s="82" customFormat="1" ht="12.75"/>
    <row r="584" s="82" customFormat="1" ht="12.75"/>
    <row r="585" s="82" customFormat="1" ht="12.75"/>
    <row r="586" s="82" customFormat="1" ht="12.75"/>
    <row r="587" s="82" customFormat="1" ht="12.75"/>
    <row r="588" s="82" customFormat="1" ht="12.75"/>
    <row r="589" s="82" customFormat="1" ht="12.75"/>
    <row r="590" s="82" customFormat="1" ht="12.75"/>
    <row r="591" s="82" customFormat="1" ht="12.75"/>
    <row r="592" s="82" customFormat="1" ht="12.75"/>
    <row r="593" s="82" customFormat="1" ht="12.75"/>
    <row r="594" s="82" customFormat="1" ht="12.75"/>
    <row r="595" s="82" customFormat="1" ht="12.75"/>
    <row r="596" s="82" customFormat="1" ht="12.75"/>
    <row r="597" s="82" customFormat="1" ht="12.75"/>
    <row r="598" s="82" customFormat="1" ht="12.75"/>
    <row r="599" s="82" customFormat="1" ht="12.75"/>
    <row r="600" s="82" customFormat="1" ht="12.75"/>
    <row r="601" s="82" customFormat="1" ht="12.75"/>
    <row r="602" s="82" customFormat="1" ht="12.75"/>
    <row r="603" s="82" customFormat="1" ht="12.75"/>
    <row r="604" s="82" customFormat="1" ht="12.75"/>
    <row r="605" s="82" customFormat="1" ht="12.75"/>
    <row r="606" s="82" customFormat="1" ht="12.75"/>
    <row r="607" s="82" customFormat="1" ht="12.75"/>
    <row r="608" s="82" customFormat="1" ht="12.75"/>
    <row r="609" s="82" customFormat="1" ht="12.75"/>
    <row r="610" s="82" customFormat="1" ht="12.75"/>
    <row r="611" s="82" customFormat="1" ht="12.75"/>
    <row r="612" s="82" customFormat="1" ht="12.75"/>
    <row r="613" s="82" customFormat="1" ht="12.75"/>
    <row r="614" s="82" customFormat="1" ht="12.75"/>
    <row r="615" s="82" customFormat="1" ht="12.75"/>
    <row r="616" s="82" customFormat="1" ht="12.75"/>
    <row r="617" s="82" customFormat="1" ht="12.75"/>
    <row r="618" s="82" customFormat="1" ht="12.75"/>
    <row r="619" s="82" customFormat="1" ht="12.75"/>
    <row r="620" s="82" customFormat="1" ht="12.75"/>
    <row r="621" s="82" customFormat="1" ht="12.75"/>
    <row r="622" s="82" customFormat="1" ht="12.75"/>
    <row r="623" s="82" customFormat="1" ht="12.75"/>
    <row r="624" s="82" customFormat="1" ht="12.75"/>
    <row r="625" s="82" customFormat="1" ht="12.75"/>
    <row r="626" s="82" customFormat="1" ht="12.75"/>
    <row r="627" s="82" customFormat="1" ht="12.75"/>
    <row r="628" s="82" customFormat="1" ht="12.75"/>
    <row r="629" s="82" customFormat="1" ht="12.75"/>
    <row r="630" s="82" customFormat="1" ht="12.75"/>
    <row r="631" s="82" customFormat="1" ht="12.75"/>
    <row r="632" s="82" customFormat="1" ht="12.75"/>
    <row r="633" s="82" customFormat="1" ht="12.75"/>
    <row r="634" s="82" customFormat="1" ht="12.75"/>
    <row r="635" s="82" customFormat="1" ht="12.75"/>
    <row r="636" s="82" customFormat="1" ht="12.75"/>
    <row r="637" s="82" customFormat="1" ht="12.75"/>
    <row r="638" s="82" customFormat="1" ht="12.75"/>
    <row r="639" s="82" customFormat="1" ht="12.75"/>
    <row r="640" s="82" customFormat="1" ht="12.75"/>
    <row r="641" s="82" customFormat="1" ht="12.75"/>
    <row r="642" s="82" customFormat="1" ht="12.75"/>
    <row r="643" s="82" customFormat="1" ht="12.75"/>
    <row r="644" s="82" customFormat="1" ht="12.75"/>
    <row r="645" s="82" customFormat="1" ht="12.75"/>
    <row r="646" s="82" customFormat="1" ht="12.75"/>
    <row r="647" s="82" customFormat="1" ht="12.75"/>
    <row r="648" s="82" customFormat="1" ht="12.75"/>
    <row r="649" s="82" customFormat="1" ht="12.75"/>
    <row r="650" s="82" customFormat="1" ht="12.75"/>
    <row r="651" s="82" customFormat="1" ht="12.75"/>
    <row r="652" s="82" customFormat="1" ht="12.75"/>
    <row r="653" s="82" customFormat="1" ht="12.75"/>
    <row r="654" s="82" customFormat="1" ht="12.75"/>
    <row r="655" s="82" customFormat="1" ht="12.75"/>
    <row r="656" s="82" customFormat="1" ht="12.75"/>
    <row r="657" s="82" customFormat="1" ht="12.75"/>
    <row r="658" s="82" customFormat="1" ht="12.75"/>
    <row r="659" s="82" customFormat="1" ht="12.75"/>
    <row r="660" s="82" customFormat="1" ht="12.75"/>
    <row r="661" s="82" customFormat="1" ht="12.75"/>
    <row r="662" s="82" customFormat="1" ht="12.75"/>
    <row r="663" s="82" customFormat="1" ht="12.75"/>
    <row r="664" s="82" customFormat="1" ht="12.75"/>
    <row r="665" s="82" customFormat="1" ht="12.75"/>
    <row r="666" s="82" customFormat="1" ht="12.75"/>
    <row r="667" s="82" customFormat="1" ht="12.75"/>
    <row r="668" s="82" customFormat="1" ht="12.75"/>
    <row r="669" s="82" customFormat="1" ht="12.75"/>
    <row r="670" s="82" customFormat="1" ht="12.75"/>
    <row r="671" s="82" customFormat="1" ht="12.75"/>
    <row r="672" s="82" customFormat="1" ht="12.75"/>
    <row r="673" s="82" customFormat="1" ht="12.75"/>
    <row r="674" s="82" customFormat="1" ht="12.75"/>
    <row r="675" s="82" customFormat="1" ht="12.75"/>
    <row r="676" s="82" customFormat="1" ht="12.75"/>
    <row r="677" s="82" customFormat="1" ht="12.75"/>
    <row r="678" s="82" customFormat="1" ht="12.75"/>
    <row r="679" s="82" customFormat="1" ht="12.75"/>
    <row r="680" s="82" customFormat="1" ht="12.75"/>
    <row r="681" s="82" customFormat="1" ht="12.75"/>
    <row r="682" s="82" customFormat="1" ht="12.75"/>
    <row r="683" s="82" customFormat="1" ht="12.75"/>
    <row r="684" s="82" customFormat="1" ht="12.75"/>
    <row r="685" s="82" customFormat="1" ht="12.75"/>
    <row r="686" s="82" customFormat="1" ht="12.75"/>
    <row r="687" s="82" customFormat="1" ht="12.75"/>
    <row r="688" s="82" customFormat="1" ht="12.75"/>
    <row r="689" s="82" customFormat="1" ht="12.75"/>
    <row r="690" s="82" customFormat="1" ht="12.75"/>
    <row r="691" s="82" customFormat="1" ht="12.75"/>
    <row r="692" s="82" customFormat="1" ht="12.75"/>
    <row r="693" s="82" customFormat="1" ht="12.75"/>
    <row r="694" s="82" customFormat="1" ht="12.75"/>
    <row r="695" s="82" customFormat="1" ht="12.75"/>
    <row r="696" s="82" customFormat="1" ht="12.75"/>
    <row r="697" s="82" customFormat="1" ht="12.75"/>
    <row r="698" s="82" customFormat="1" ht="12.75"/>
    <row r="699" s="82" customFormat="1" ht="12.75"/>
    <row r="700" s="82" customFormat="1" ht="12.75"/>
    <row r="701" s="82" customFormat="1" ht="12.75"/>
    <row r="702" s="82" customFormat="1" ht="12.75"/>
    <row r="703" s="82" customFormat="1" ht="12.75"/>
    <row r="704" s="82" customFormat="1" ht="12.75"/>
    <row r="705" s="82" customFormat="1" ht="12.75"/>
    <row r="706" s="82" customFormat="1" ht="12.75"/>
    <row r="707" s="82" customFormat="1" ht="12.75"/>
    <row r="708" s="82" customFormat="1" ht="12.75"/>
    <row r="709" s="82" customFormat="1" ht="12.75"/>
    <row r="710" s="82" customFormat="1" ht="12.75"/>
    <row r="711" s="82" customFormat="1" ht="12.75"/>
    <row r="712" s="82" customFormat="1" ht="12.75"/>
    <row r="713" s="82" customFormat="1" ht="12.75"/>
    <row r="714" s="82" customFormat="1" ht="12.75"/>
    <row r="715" s="82" customFormat="1" ht="12.75"/>
    <row r="716" s="82" customFormat="1" ht="12.75"/>
    <row r="717" s="82" customFormat="1" ht="12.75"/>
    <row r="718" s="82" customFormat="1" ht="12.75"/>
    <row r="719" s="82" customFormat="1" ht="12.75"/>
    <row r="720" s="82" customFormat="1" ht="12.75"/>
    <row r="721" s="82" customFormat="1" ht="12.75"/>
    <row r="722" s="82" customFormat="1" ht="12.75"/>
    <row r="723" s="82" customFormat="1" ht="12.75"/>
    <row r="724" s="82" customFormat="1" ht="12.75"/>
    <row r="725" s="82" customFormat="1" ht="12.75"/>
    <row r="726" s="82" customFormat="1" ht="12.75"/>
    <row r="727" s="82" customFormat="1" ht="12.75"/>
    <row r="728" s="82" customFormat="1" ht="12.75"/>
    <row r="729" s="82" customFormat="1" ht="12.75"/>
    <row r="730" s="82" customFormat="1" ht="12.75"/>
    <row r="731" s="82" customFormat="1" ht="12.75"/>
    <row r="732" s="82" customFormat="1" ht="12.75"/>
    <row r="733" s="82" customFormat="1" ht="12.75"/>
    <row r="734" s="82" customFormat="1" ht="12.75"/>
    <row r="735" s="82" customFormat="1" ht="12.75"/>
    <row r="736" s="82" customFormat="1" ht="12.75"/>
    <row r="737" s="82" customFormat="1" ht="12.75"/>
    <row r="738" s="82" customFormat="1" ht="12.75"/>
    <row r="739" s="82" customFormat="1" ht="12.75"/>
    <row r="740" s="82" customFormat="1" ht="12.75"/>
    <row r="741" s="82" customFormat="1" ht="12.75"/>
    <row r="742" s="82" customFormat="1" ht="12.75"/>
    <row r="743" s="82" customFormat="1" ht="12.75"/>
    <row r="744" s="82" customFormat="1" ht="12.75"/>
    <row r="745" s="82" customFormat="1" ht="12.75"/>
    <row r="746" s="82" customFormat="1" ht="12.75"/>
    <row r="747" s="82" customFormat="1" ht="12.75"/>
    <row r="748" s="82" customFormat="1" ht="12.75"/>
    <row r="749" s="82" customFormat="1" ht="12.75"/>
    <row r="750" s="82" customFormat="1" ht="12.75"/>
    <row r="751" s="82" customFormat="1" ht="12.75"/>
    <row r="752" s="82" customFormat="1" ht="12.75"/>
    <row r="753" s="82" customFormat="1" ht="12.75"/>
    <row r="754" s="82" customFormat="1" ht="12.75"/>
    <row r="755" s="82" customFormat="1" ht="12.75"/>
    <row r="756" s="82" customFormat="1" ht="12.75"/>
    <row r="757" s="82" customFormat="1" ht="12.75"/>
    <row r="758" s="82" customFormat="1" ht="12.75"/>
    <row r="759" s="82" customFormat="1" ht="12.75"/>
    <row r="760" s="82" customFormat="1" ht="12.75"/>
    <row r="761" s="82" customFormat="1" ht="12.75"/>
    <row r="762" s="82" customFormat="1" ht="12.75"/>
    <row r="763" s="82" customFormat="1" ht="12.75"/>
    <row r="764" s="82" customFormat="1" ht="12.75"/>
    <row r="765" s="82" customFormat="1" ht="12.75"/>
    <row r="766" s="82" customFormat="1" ht="12.75"/>
    <row r="767" s="82" customFormat="1" ht="12.75"/>
    <row r="768" s="82" customFormat="1" ht="12.75"/>
    <row r="769" s="82" customFormat="1" ht="12.75"/>
    <row r="770" s="82" customFormat="1" ht="12.75"/>
    <row r="771" s="82" customFormat="1" ht="12.75"/>
    <row r="772" s="82" customFormat="1" ht="12.75"/>
    <row r="773" s="82" customFormat="1" ht="12.75"/>
    <row r="774" s="82" customFormat="1" ht="12.75"/>
    <row r="775" s="82" customFormat="1" ht="12.75"/>
    <row r="776" s="82" customFormat="1" ht="12.75"/>
    <row r="777" s="82" customFormat="1" ht="12.75"/>
    <row r="778" s="82" customFormat="1" ht="12.75"/>
    <row r="779" s="82" customFormat="1" ht="12.75"/>
    <row r="780" s="82" customFormat="1" ht="12.75"/>
    <row r="781" s="82" customFormat="1" ht="12.75"/>
    <row r="782" s="82" customFormat="1" ht="12.75"/>
    <row r="783" s="82" customFormat="1" ht="12.75"/>
    <row r="784" s="82" customFormat="1" ht="12.75"/>
    <row r="785" s="82" customFormat="1" ht="12.75"/>
    <row r="786" s="82" customFormat="1" ht="12.75"/>
    <row r="787" s="82" customFormat="1" ht="12.75"/>
    <row r="788" s="82" customFormat="1" ht="12.75"/>
    <row r="789" s="82" customFormat="1" ht="12.75"/>
    <row r="790" s="82" customFormat="1" ht="12.75"/>
    <row r="791" s="82" customFormat="1" ht="12.75"/>
    <row r="792" s="82" customFormat="1" ht="12.75"/>
    <row r="793" s="82" customFormat="1" ht="12.75"/>
    <row r="794" s="82" customFormat="1" ht="12.75"/>
    <row r="795" s="82" customFormat="1" ht="12.75"/>
    <row r="796" s="82" customFormat="1" ht="12.75"/>
    <row r="797" s="82" customFormat="1" ht="12.75"/>
    <row r="798" s="82" customFormat="1" ht="12.75"/>
    <row r="799" s="82" customFormat="1" ht="12.75"/>
    <row r="800" s="82" customFormat="1" ht="12.75"/>
    <row r="801" s="82" customFormat="1" ht="12.75"/>
    <row r="802" s="82" customFormat="1" ht="12.75"/>
    <row r="803" s="82" customFormat="1" ht="12.75"/>
    <row r="804" s="82" customFormat="1" ht="12.75"/>
    <row r="805" s="82" customFormat="1" ht="12.75"/>
    <row r="806" s="82" customFormat="1" ht="12.75"/>
    <row r="807" s="82" customFormat="1" ht="12.75"/>
    <row r="808" s="82" customFormat="1" ht="12.75"/>
    <row r="809" s="82" customFormat="1" ht="12.75"/>
    <row r="810" s="82" customFormat="1" ht="12.75"/>
    <row r="811" s="82" customFormat="1" ht="12.75"/>
    <row r="812" s="82" customFormat="1" ht="12.75"/>
    <row r="813" s="82" customFormat="1" ht="12.75"/>
    <row r="814" s="82" customFormat="1" ht="12.75"/>
    <row r="815" s="82" customFormat="1" ht="12.75"/>
    <row r="816" s="82" customFormat="1" ht="12.75"/>
    <row r="817" s="82" customFormat="1" ht="12.75"/>
    <row r="818" s="82" customFormat="1" ht="12.75"/>
    <row r="819" s="82" customFormat="1" ht="12.75"/>
    <row r="820" s="82" customFormat="1" ht="12.75"/>
    <row r="821" s="82" customFormat="1" ht="12.75"/>
    <row r="822" s="82" customFormat="1" ht="12.75"/>
    <row r="823" s="82" customFormat="1" ht="12.75"/>
    <row r="824" s="82" customFormat="1" ht="12.75"/>
    <row r="825" s="82" customFormat="1" ht="12.75"/>
    <row r="826" s="82" customFormat="1" ht="12.75"/>
    <row r="827" s="82" customFormat="1" ht="12.75"/>
    <row r="828" s="82" customFormat="1" ht="12.75"/>
    <row r="829" s="82" customFormat="1" ht="12.75"/>
    <row r="830" s="82" customFormat="1" ht="12.75"/>
    <row r="831" s="82" customFormat="1" ht="12.75"/>
    <row r="832" s="82" customFormat="1" ht="12.75"/>
    <row r="833" s="82" customFormat="1" ht="12.75"/>
    <row r="834" s="82" customFormat="1" ht="12.75"/>
    <row r="835" s="82" customFormat="1" ht="12.75"/>
    <row r="836" s="82" customFormat="1" ht="12.75"/>
    <row r="837" s="82" customFormat="1" ht="12.75"/>
    <row r="838" s="82" customFormat="1" ht="12.75"/>
    <row r="839" s="82" customFormat="1" ht="12.75"/>
    <row r="840" s="82" customFormat="1" ht="12.75"/>
    <row r="841" s="82" customFormat="1" ht="12.75"/>
    <row r="842" s="82" customFormat="1" ht="12.75"/>
    <row r="843" s="82" customFormat="1" ht="12.75"/>
    <row r="844" s="82" customFormat="1" ht="12.75"/>
    <row r="845" s="82" customFormat="1" ht="12.75"/>
    <row r="846" s="82" customFormat="1" ht="12.75"/>
    <row r="847" s="82" customFormat="1" ht="12.75"/>
    <row r="848" s="82" customFormat="1" ht="12.75"/>
    <row r="849" s="82" customFormat="1" ht="12.75"/>
    <row r="850" s="82" customFormat="1" ht="12.75"/>
    <row r="851" s="82" customFormat="1" ht="12.75"/>
    <row r="852" s="82" customFormat="1" ht="12.75"/>
    <row r="853" s="82" customFormat="1" ht="12.75"/>
    <row r="854" s="82" customFormat="1" ht="12.75"/>
    <row r="855" s="82" customFormat="1" ht="12.75"/>
    <row r="856" s="82" customFormat="1" ht="12.75"/>
    <row r="857" s="82" customFormat="1" ht="12.75"/>
    <row r="858" s="82" customFormat="1" ht="12.75"/>
    <row r="859" s="82" customFormat="1" ht="12.75"/>
    <row r="860" s="82" customFormat="1" ht="12.75"/>
    <row r="861" s="82" customFormat="1" ht="12.75"/>
    <row r="862" s="82" customFormat="1" ht="12.75"/>
    <row r="863" s="82" customFormat="1" ht="12.75"/>
    <row r="864" s="82" customFormat="1" ht="12.75"/>
    <row r="865" s="82" customFormat="1" ht="12.75"/>
    <row r="866" s="82" customFormat="1" ht="12.75"/>
    <row r="867" s="82" customFormat="1" ht="12.75"/>
    <row r="868" s="82" customFormat="1" ht="12.75"/>
    <row r="869" s="82" customFormat="1" ht="12.75"/>
    <row r="870" s="82" customFormat="1" ht="12.75"/>
    <row r="871" s="82" customFormat="1" ht="12.75"/>
    <row r="872" s="82" customFormat="1" ht="12.75"/>
    <row r="873" s="82" customFormat="1" ht="12.75"/>
    <row r="874" s="82" customFormat="1" ht="12.75"/>
    <row r="875" s="82" customFormat="1" ht="12.75"/>
    <row r="876" s="82" customFormat="1" ht="12.75"/>
    <row r="877" s="82" customFormat="1" ht="12.75"/>
    <row r="878" s="82" customFormat="1" ht="12.75"/>
    <row r="879" s="82" customFormat="1" ht="12.75"/>
    <row r="880" s="82" customFormat="1" ht="12.75"/>
    <row r="881" s="82" customFormat="1" ht="12.75"/>
    <row r="882" s="82" customFormat="1" ht="12.75"/>
    <row r="883" s="82" customFormat="1" ht="12.75"/>
    <row r="884" s="82" customFormat="1" ht="12.75"/>
    <row r="885" s="82" customFormat="1" ht="12.75"/>
    <row r="886" s="82" customFormat="1" ht="12.75"/>
    <row r="887" s="82" customFormat="1" ht="12.75"/>
    <row r="888" s="82" customFormat="1" ht="12.75"/>
    <row r="889" s="82" customFormat="1" ht="12.75"/>
    <row r="890" s="82" customFormat="1" ht="12.75"/>
    <row r="891" s="82" customFormat="1" ht="12.75"/>
    <row r="892" s="82" customFormat="1" ht="12.75"/>
    <row r="893" s="82" customFormat="1" ht="12.75"/>
    <row r="894" s="82" customFormat="1" ht="12.75"/>
    <row r="895" s="82" customFormat="1" ht="12.75"/>
    <row r="896" s="82" customFormat="1" ht="12.75"/>
    <row r="897" s="82" customFormat="1" ht="12.75"/>
    <row r="898" s="82" customFormat="1" ht="12.75"/>
    <row r="899" s="82" customFormat="1" ht="12.75"/>
    <row r="900" s="82" customFormat="1" ht="12.75"/>
    <row r="901" s="82" customFormat="1" ht="12.75"/>
    <row r="902" s="82" customFormat="1" ht="12.75"/>
    <row r="903" s="82" customFormat="1" ht="12.75"/>
    <row r="904" s="82" customFormat="1" ht="12.75"/>
    <row r="905" s="82" customFormat="1" ht="12.75"/>
    <row r="906" s="82" customFormat="1" ht="12.75"/>
    <row r="907" s="82" customFormat="1" ht="12.75"/>
    <row r="908" s="82" customFormat="1" ht="12.75"/>
    <row r="909" s="82" customFormat="1" ht="12.75"/>
    <row r="910" s="82" customFormat="1" ht="12.75"/>
    <row r="911" s="82" customFormat="1" ht="12.75"/>
    <row r="912" s="82" customFormat="1" ht="12.75"/>
    <row r="913" s="82" customFormat="1" ht="12.75"/>
    <row r="914" s="82" customFormat="1" ht="12.75"/>
    <row r="915" s="82" customFormat="1" ht="12.75"/>
    <row r="916" s="82" customFormat="1" ht="12.75"/>
    <row r="917" s="82" customFormat="1" ht="12.75"/>
    <row r="918" s="82" customFormat="1" ht="12.75"/>
    <row r="919" s="82" customFormat="1" ht="12.75"/>
    <row r="920" s="82" customFormat="1" ht="12.75"/>
    <row r="921" s="82" customFormat="1" ht="12.75"/>
    <row r="922" s="82" customFormat="1" ht="12.75"/>
    <row r="923" s="82" customFormat="1" ht="12.75"/>
    <row r="924" s="82" customFormat="1" ht="12.75"/>
    <row r="925" s="82" customFormat="1" ht="12.75"/>
    <row r="926" s="82" customFormat="1" ht="12.75"/>
    <row r="927" s="82" customFormat="1" ht="12.75"/>
    <row r="928" s="82" customFormat="1" ht="12.75"/>
    <row r="929" s="82" customFormat="1" ht="12.75"/>
    <row r="930" s="82" customFormat="1" ht="12.75"/>
    <row r="931" s="82" customFormat="1" ht="12.75"/>
    <row r="932" s="82" customFormat="1" ht="12.75"/>
    <row r="933" s="82" customFormat="1" ht="12.75"/>
    <row r="934" s="82" customFormat="1" ht="12.75"/>
    <row r="935" s="82" customFormat="1" ht="12.75"/>
    <row r="936" s="82" customFormat="1" ht="12.75"/>
    <row r="937" s="82" customFormat="1" ht="12.75"/>
    <row r="938" s="82" customFormat="1" ht="12.75"/>
    <row r="939" s="82" customFormat="1" ht="12.75"/>
    <row r="940" s="82" customFormat="1" ht="12.75"/>
    <row r="941" s="82" customFormat="1" ht="12.75"/>
    <row r="942" s="82" customFormat="1" ht="12.75"/>
    <row r="943" s="82" customFormat="1" ht="12.75"/>
    <row r="944" s="82" customFormat="1" ht="12.75"/>
    <row r="945" s="82" customFormat="1" ht="12.75"/>
    <row r="946" s="82" customFormat="1" ht="12.75"/>
    <row r="947" s="82" customFormat="1" ht="12.75"/>
    <row r="948" s="82" customFormat="1" ht="12.75"/>
    <row r="949" s="82" customFormat="1" ht="12.75"/>
    <row r="950" s="82" customFormat="1" ht="12.75"/>
    <row r="951" s="82" customFormat="1" ht="12.75"/>
    <row r="952" s="82" customFormat="1" ht="12.75"/>
    <row r="953" s="82" customFormat="1" ht="12.75"/>
    <row r="954" s="82" customFormat="1" ht="12.75"/>
    <row r="955" s="82" customFormat="1" ht="12.75"/>
    <row r="956" s="82" customFormat="1" ht="12.75"/>
    <row r="957" s="82" customFormat="1" ht="12.75"/>
    <row r="958" s="82" customFormat="1" ht="12.75"/>
    <row r="959" s="82" customFormat="1" ht="12.75"/>
    <row r="960" s="82" customFormat="1" ht="12.75"/>
    <row r="961" s="82" customFormat="1" ht="12.75"/>
    <row r="962" s="82" customFormat="1" ht="12.75"/>
    <row r="963" s="82" customFormat="1" ht="12.75"/>
    <row r="964" s="82" customFormat="1" ht="12.75"/>
    <row r="965" s="82" customFormat="1" ht="12.75"/>
    <row r="966" s="82" customFormat="1" ht="12.75"/>
    <row r="967" s="82" customFormat="1" ht="12.75"/>
    <row r="968" s="82" customFormat="1" ht="12.75"/>
    <row r="969" s="82" customFormat="1" ht="12.75"/>
    <row r="970" s="82" customFormat="1" ht="12.75"/>
    <row r="971" s="82" customFormat="1" ht="12.75"/>
    <row r="972" s="82" customFormat="1" ht="12.75"/>
    <row r="973" s="82" customFormat="1" ht="12.75"/>
    <row r="974" s="82" customFormat="1" ht="12.75"/>
    <row r="975" s="82" customFormat="1" ht="12.75"/>
    <row r="976" s="82" customFormat="1" ht="12.75"/>
    <row r="977" s="82" customFormat="1" ht="12.75"/>
    <row r="978" s="82" customFormat="1" ht="12.75"/>
    <row r="979" s="82" customFormat="1" ht="12.75"/>
    <row r="980" s="82" customFormat="1" ht="12.75"/>
    <row r="981" s="82" customFormat="1" ht="12.75"/>
    <row r="982" s="82" customFormat="1" ht="12.75"/>
    <row r="983" s="82" customFormat="1" ht="12.75"/>
    <row r="984" s="82" customFormat="1" ht="12.75"/>
    <row r="985" s="82" customFormat="1" ht="12.75"/>
    <row r="986" s="82" customFormat="1" ht="12.75"/>
    <row r="987" s="82" customFormat="1" ht="12.75"/>
    <row r="988" s="82" customFormat="1" ht="12.75"/>
    <row r="989" s="82" customFormat="1" ht="12.75"/>
    <row r="990" s="82" customFormat="1" ht="12.75"/>
    <row r="991" s="82" customFormat="1" ht="12.75"/>
    <row r="992" s="82" customFormat="1" ht="12.75"/>
    <row r="993" s="82" customFormat="1" ht="12.75"/>
    <row r="994" s="82" customFormat="1" ht="12.75"/>
    <row r="995" s="82" customFormat="1" ht="12.75"/>
    <row r="996" s="82" customFormat="1" ht="12.75"/>
    <row r="997" s="82" customFormat="1" ht="12.75"/>
    <row r="998" s="82" customFormat="1" ht="12.75"/>
    <row r="999" s="82" customFormat="1" ht="12.75"/>
    <row r="1000" s="82" customFormat="1" ht="12.75"/>
    <row r="1001" s="82" customFormat="1" ht="12.75"/>
    <row r="1002" s="82" customFormat="1" ht="12.75"/>
    <row r="1003" s="82" customFormat="1" ht="12.75"/>
    <row r="1004" s="82" customFormat="1" ht="12.75"/>
    <row r="1005" s="82" customFormat="1" ht="12.75"/>
    <row r="1006" s="82" customFormat="1" ht="12.75"/>
    <row r="1007" s="82" customFormat="1" ht="12.75"/>
    <row r="1008" s="82" customFormat="1" ht="12.75"/>
    <row r="1009" s="82" customFormat="1" ht="12.75"/>
    <row r="1010" s="82" customFormat="1" ht="12.75"/>
    <row r="1011" s="82" customFormat="1" ht="12.75"/>
    <row r="1012" s="82" customFormat="1" ht="12.75"/>
    <row r="1013" s="82" customFormat="1" ht="12.75"/>
    <row r="1014" s="82" customFormat="1" ht="12.75"/>
    <row r="1015" s="82" customFormat="1" ht="12.75"/>
    <row r="1016" s="82" customFormat="1" ht="12.75"/>
    <row r="1017" s="82" customFormat="1" ht="12.75"/>
    <row r="1018" s="82" customFormat="1" ht="12.75"/>
    <row r="1019" s="82" customFormat="1" ht="12.75"/>
    <row r="1020" s="82" customFormat="1" ht="12.75"/>
    <row r="1021" s="82" customFormat="1" ht="12.75"/>
    <row r="1022" s="82" customFormat="1" ht="12.75"/>
    <row r="1023" s="82" customFormat="1" ht="12.75"/>
    <row r="1024" s="82" customFormat="1" ht="12.75"/>
    <row r="1025" s="82" customFormat="1" ht="12.75"/>
    <row r="1026" s="82" customFormat="1" ht="12.75"/>
    <row r="1027" s="82" customFormat="1" ht="12.75"/>
    <row r="1028" s="82" customFormat="1" ht="12.75"/>
    <row r="1029" s="82" customFormat="1" ht="12.75"/>
    <row r="1030" s="82" customFormat="1" ht="12.75"/>
    <row r="1031" s="82" customFormat="1" ht="12.75"/>
    <row r="1032" s="82" customFormat="1" ht="12.75"/>
    <row r="1033" s="82" customFormat="1" ht="12.75"/>
    <row r="1034" s="82" customFormat="1" ht="12.75"/>
    <row r="1035" s="82" customFormat="1" ht="12.75"/>
    <row r="1036" s="82" customFormat="1" ht="12.75"/>
    <row r="1037" s="82" customFormat="1" ht="12.75"/>
    <row r="1038" s="82" customFormat="1" ht="12.75"/>
    <row r="1039" s="82" customFormat="1" ht="12.75"/>
    <row r="1040" s="82" customFormat="1" ht="12.75"/>
    <row r="1041" s="82" customFormat="1" ht="12.75"/>
    <row r="1042" s="82" customFormat="1" ht="12.75"/>
    <row r="1043" s="82" customFormat="1" ht="12.75"/>
    <row r="1044" s="82" customFormat="1" ht="12.75"/>
    <row r="1045" s="82" customFormat="1" ht="12.75"/>
    <row r="1046" s="82" customFormat="1" ht="12.75"/>
    <row r="1047" s="82" customFormat="1" ht="12.75"/>
    <row r="1048" s="82" customFormat="1" ht="12.75"/>
    <row r="1049" s="82" customFormat="1" ht="12.75"/>
    <row r="1050" s="82" customFormat="1" ht="12.75"/>
    <row r="1051" s="82" customFormat="1" ht="12.75"/>
    <row r="1052" s="82" customFormat="1" ht="12.75"/>
    <row r="1053" s="82" customFormat="1" ht="12.75"/>
    <row r="1054" s="82" customFormat="1" ht="12.75"/>
    <row r="1055" s="82" customFormat="1" ht="12.75"/>
    <row r="1056" s="82" customFormat="1" ht="12.75"/>
    <row r="1057" s="82" customFormat="1" ht="12.75"/>
    <row r="1058" s="82" customFormat="1" ht="12.75"/>
    <row r="1059" s="82" customFormat="1" ht="12.75"/>
    <row r="1060" s="82" customFormat="1" ht="12.75"/>
    <row r="1061" s="82" customFormat="1" ht="12.75"/>
    <row r="1062" s="82" customFormat="1" ht="12.75"/>
    <row r="1063" s="82" customFormat="1" ht="12.75"/>
    <row r="1064" s="82" customFormat="1" ht="12.75"/>
    <row r="1065" s="82" customFormat="1" ht="12.75"/>
    <row r="1066" s="82" customFormat="1" ht="12.75"/>
    <row r="1067" s="82" customFormat="1" ht="12.75"/>
    <row r="1068" s="82" customFormat="1" ht="12.75"/>
    <row r="1069" s="82" customFormat="1" ht="12.75"/>
    <row r="1070" s="82" customFormat="1" ht="12.75"/>
    <row r="1071" s="82" customFormat="1" ht="12.75"/>
    <row r="1072" s="82" customFormat="1" ht="12.75"/>
    <row r="1073" s="82" customFormat="1" ht="12.75"/>
    <row r="1074" s="82" customFormat="1" ht="12.75"/>
    <row r="1075" s="82" customFormat="1" ht="12.75"/>
    <row r="1076" s="82" customFormat="1" ht="12.75"/>
    <row r="1077" s="82" customFormat="1" ht="12.75"/>
    <row r="1078" s="82" customFormat="1" ht="12.75"/>
    <row r="1079" s="82" customFormat="1" ht="12.75"/>
    <row r="1080" s="82" customFormat="1" ht="12.75"/>
    <row r="1081" s="82" customFormat="1" ht="12.75"/>
    <row r="1082" s="82" customFormat="1" ht="12.75"/>
    <row r="1083" s="82" customFormat="1" ht="12.75"/>
    <row r="1084" s="82" customFormat="1" ht="12.75"/>
    <row r="1085" s="82" customFormat="1" ht="12.75"/>
    <row r="1086" s="82" customFormat="1" ht="12.75"/>
    <row r="1087" s="82" customFormat="1" ht="12.75"/>
    <row r="1088" s="82" customFormat="1" ht="12.75"/>
    <row r="1089" s="82" customFormat="1" ht="12.75"/>
    <row r="1090" s="82" customFormat="1" ht="12.75"/>
    <row r="1091" s="82" customFormat="1" ht="12.75"/>
    <row r="1092" s="82" customFormat="1" ht="12.75"/>
    <row r="1093" s="82" customFormat="1" ht="12.75"/>
    <row r="1094" s="82" customFormat="1" ht="12.75"/>
    <row r="1095" s="82" customFormat="1" ht="12.75"/>
    <row r="1096" s="82" customFormat="1" ht="12.75"/>
    <row r="1097" s="82" customFormat="1" ht="12.75"/>
    <row r="1098" s="82" customFormat="1" ht="12.75"/>
    <row r="1099" s="82" customFormat="1" ht="12.75"/>
    <row r="1100" s="82" customFormat="1" ht="12.75"/>
    <row r="1101" s="82" customFormat="1" ht="12.75"/>
    <row r="1102" s="82" customFormat="1" ht="12.75"/>
    <row r="1103" s="82" customFormat="1" ht="12.75"/>
    <row r="1104" s="82" customFormat="1" ht="12.75"/>
    <row r="1105" s="82" customFormat="1" ht="12.75"/>
    <row r="1106" s="82" customFormat="1" ht="12.75"/>
    <row r="1107" s="82" customFormat="1" ht="12.75"/>
    <row r="1108" s="82" customFormat="1" ht="12.75"/>
    <row r="1109" s="82" customFormat="1" ht="12.75"/>
    <row r="1110" s="82" customFormat="1" ht="12.75"/>
    <row r="1111" s="82" customFormat="1" ht="12.75"/>
    <row r="1112" s="82" customFormat="1" ht="12.75"/>
    <row r="1113" s="82" customFormat="1" ht="12.75"/>
    <row r="1114" s="82" customFormat="1" ht="12.75"/>
    <row r="1115" s="82" customFormat="1" ht="12.75"/>
    <row r="1116" s="82" customFormat="1" ht="12.75"/>
    <row r="1117" s="82" customFormat="1" ht="12.75"/>
    <row r="1118" s="82" customFormat="1" ht="12.75"/>
    <row r="1119" s="82" customFormat="1" ht="12.75"/>
    <row r="1120" s="82" customFormat="1" ht="12.75"/>
    <row r="1121" s="82" customFormat="1" ht="12.75"/>
    <row r="1122" s="82" customFormat="1" ht="12.75"/>
    <row r="1123" s="82" customFormat="1" ht="12.75"/>
    <row r="1124" s="82" customFormat="1" ht="12.75"/>
    <row r="1125" s="82" customFormat="1" ht="12.75"/>
    <row r="1126" s="82" customFormat="1" ht="12.75"/>
    <row r="1127" s="82" customFormat="1" ht="12.75"/>
    <row r="1128" s="82" customFormat="1" ht="12.75"/>
    <row r="1129" s="82" customFormat="1" ht="12.75"/>
    <row r="1130" s="82" customFormat="1" ht="12.75"/>
    <row r="1131" s="82" customFormat="1" ht="12.75"/>
    <row r="1132" s="82" customFormat="1" ht="12.75"/>
    <row r="1133" s="82" customFormat="1" ht="12.75"/>
    <row r="1134" s="82" customFormat="1" ht="12.75"/>
    <row r="1135" s="82" customFormat="1" ht="12.75"/>
    <row r="1136" s="82" customFormat="1" ht="12.75"/>
    <row r="1137" s="82" customFormat="1" ht="12.75"/>
    <row r="1138" s="82" customFormat="1" ht="12.75"/>
    <row r="1139" s="82" customFormat="1" ht="12.75"/>
    <row r="1140" s="82" customFormat="1" ht="12.75"/>
    <row r="1141" s="82" customFormat="1" ht="12.75"/>
    <row r="1142" s="82" customFormat="1" ht="12.75"/>
    <row r="1143" s="82" customFormat="1" ht="12.75"/>
    <row r="1144" s="82" customFormat="1" ht="12.75"/>
    <row r="1145" s="82" customFormat="1" ht="12.75"/>
    <row r="1146" s="82" customFormat="1" ht="12.75"/>
    <row r="1147" s="82" customFormat="1" ht="12.75"/>
    <row r="1148" s="82" customFormat="1" ht="12.75"/>
    <row r="1149" s="82" customFormat="1" ht="12.75"/>
    <row r="1150" s="82" customFormat="1" ht="12.75"/>
    <row r="1151" s="82" customFormat="1" ht="12.75"/>
    <row r="1152" s="82" customFormat="1" ht="12.75"/>
    <row r="1153" s="82" customFormat="1" ht="12.75"/>
    <row r="1154" s="82" customFormat="1" ht="12.75"/>
    <row r="1155" s="82" customFormat="1" ht="12.75"/>
    <row r="1156" s="82" customFormat="1" ht="12.75"/>
    <row r="1157" s="82" customFormat="1" ht="12.75"/>
    <row r="1158" s="82" customFormat="1" ht="12.75"/>
    <row r="1159" s="82" customFormat="1" ht="12.75"/>
    <row r="1160" s="82" customFormat="1" ht="12.75"/>
    <row r="1161" s="82" customFormat="1" ht="12.75"/>
    <row r="1162" s="82" customFormat="1" ht="12.75"/>
    <row r="1163" s="82" customFormat="1" ht="12.75"/>
    <row r="1164" s="82" customFormat="1" ht="12.75"/>
    <row r="1165" s="82" customFormat="1" ht="12.75"/>
    <row r="1166" s="82" customFormat="1" ht="12.75"/>
    <row r="1167" s="82" customFormat="1" ht="12.75"/>
    <row r="1168" s="82" customFormat="1" ht="12.75"/>
    <row r="1169" s="82" customFormat="1" ht="12.75"/>
    <row r="1170" s="82" customFormat="1" ht="12.75"/>
    <row r="1171" s="82" customFormat="1" ht="12.75"/>
    <row r="1172" s="82" customFormat="1" ht="12.75"/>
    <row r="1173" s="82" customFormat="1" ht="12.75"/>
    <row r="1174" s="82" customFormat="1" ht="12.75"/>
    <row r="1175" s="82" customFormat="1" ht="12.75"/>
    <row r="1176" s="82" customFormat="1" ht="12.75"/>
    <row r="1177" s="82" customFormat="1" ht="12.75"/>
    <row r="1178" s="82" customFormat="1" ht="12.75"/>
    <row r="1179" s="82" customFormat="1" ht="12.75"/>
    <row r="1180" s="82" customFormat="1" ht="12.75"/>
    <row r="1181" s="82" customFormat="1" ht="12.75"/>
    <row r="1182" s="82" customFormat="1" ht="12.75"/>
    <row r="1183" s="82" customFormat="1" ht="12.75"/>
    <row r="1184" s="82" customFormat="1" ht="12.75"/>
    <row r="1185" s="82" customFormat="1" ht="12.75"/>
    <row r="1186" s="82" customFormat="1" ht="12.75"/>
    <row r="1187" s="82" customFormat="1" ht="12.75"/>
    <row r="1188" s="82" customFormat="1" ht="12.75"/>
    <row r="1189" s="82" customFormat="1" ht="12.75"/>
    <row r="1190" s="82" customFormat="1" ht="12.75"/>
    <row r="1191" s="82" customFormat="1" ht="12.75"/>
    <row r="1192" s="82" customFormat="1" ht="12.75"/>
    <row r="1193" s="82" customFormat="1" ht="12.75"/>
    <row r="1194" s="82" customFormat="1" ht="12.75"/>
    <row r="1195" s="82" customFormat="1" ht="12.75"/>
    <row r="1196" s="82" customFormat="1" ht="12.75"/>
    <row r="1197" s="82" customFormat="1" ht="12.75"/>
    <row r="1198" s="82" customFormat="1" ht="12.75"/>
    <row r="1199" s="82" customFormat="1" ht="12.75"/>
    <row r="1200" s="82" customFormat="1" ht="12.75"/>
    <row r="1201" s="82" customFormat="1" ht="12.75"/>
    <row r="1202" s="82" customFormat="1" ht="12.75"/>
    <row r="1203" s="82" customFormat="1" ht="12.75"/>
    <row r="1204" s="82" customFormat="1" ht="12.75"/>
    <row r="1205" s="82" customFormat="1" ht="12.75"/>
    <row r="1206" s="82" customFormat="1" ht="12.75"/>
    <row r="1207" s="82" customFormat="1" ht="12.75"/>
    <row r="1208" s="82" customFormat="1" ht="12.75"/>
    <row r="1209" s="82" customFormat="1" ht="12.75"/>
    <row r="1210" s="82" customFormat="1" ht="12.75"/>
    <row r="1211" s="82" customFormat="1" ht="12.75"/>
    <row r="1212" s="82" customFormat="1" ht="12.75"/>
    <row r="1213" s="82" customFormat="1" ht="12.75"/>
    <row r="1214" s="82" customFormat="1" ht="12.75"/>
    <row r="1215" s="82" customFormat="1" ht="12.75"/>
    <row r="1216" s="82" customFormat="1" ht="12.75"/>
    <row r="1217" s="82" customFormat="1" ht="12.75"/>
    <row r="1218" s="82" customFormat="1" ht="12.75"/>
    <row r="1219" s="82" customFormat="1" ht="12.75"/>
    <row r="1220" s="82" customFormat="1" ht="12.75"/>
    <row r="1221" s="82" customFormat="1" ht="12.75"/>
    <row r="1222" s="82" customFormat="1" ht="12.75"/>
    <row r="1223" s="82" customFormat="1" ht="12.75"/>
    <row r="1224" s="82" customFormat="1" ht="12.75"/>
    <row r="1225" s="82" customFormat="1" ht="12.75"/>
    <row r="1226" s="82" customFormat="1" ht="12.75"/>
    <row r="1227" s="82" customFormat="1" ht="12.75"/>
    <row r="1228" s="82" customFormat="1" ht="12.75"/>
    <row r="1229" s="82" customFormat="1" ht="12.75"/>
    <row r="1230" s="82" customFormat="1" ht="12.75"/>
    <row r="1231" s="82" customFormat="1" ht="12.75"/>
    <row r="1232" s="82" customFormat="1" ht="12.75"/>
    <row r="1233" s="82" customFormat="1" ht="12.75"/>
    <row r="1234" s="82" customFormat="1" ht="12.75"/>
    <row r="1235" s="82" customFormat="1" ht="12.75"/>
    <row r="1236" s="82" customFormat="1" ht="12.75"/>
    <row r="1237" s="82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4"/>
  <sheetViews>
    <sheetView tabSelected="1" workbookViewId="0" topLeftCell="A430">
      <selection activeCell="B478" sqref="B478"/>
    </sheetView>
  </sheetViews>
  <sheetFormatPr defaultColWidth="9.00390625" defaultRowHeight="12.75"/>
  <cols>
    <col min="1" max="1" width="25.875" style="1" customWidth="1"/>
    <col min="2" max="26" width="10.375" style="1" customWidth="1"/>
    <col min="27" max="27" width="3.00390625" style="154" customWidth="1"/>
    <col min="28" max="255" width="9.125" style="2" hidden="1" customWidth="1"/>
    <col min="256" max="16384" width="1.625" style="2" hidden="1" customWidth="1"/>
  </cols>
  <sheetData>
    <row r="1" spans="1:6" ht="15">
      <c r="A1" s="31" t="s">
        <v>246</v>
      </c>
      <c r="B1" s="32" t="s">
        <v>247</v>
      </c>
      <c r="C1"/>
      <c r="D1"/>
      <c r="E1" s="33" t="s">
        <v>248</v>
      </c>
      <c r="F1"/>
    </row>
    <row r="2" ht="15"/>
    <row r="3" spans="1:26" ht="15">
      <c r="A3" s="1" t="s">
        <v>233</v>
      </c>
      <c r="B3" s="95">
        <v>1000</v>
      </c>
      <c r="H3" s="1" t="s">
        <v>58</v>
      </c>
      <c r="K3" s="1" t="s">
        <v>65</v>
      </c>
      <c r="L3" s="3">
        <v>9.81</v>
      </c>
      <c r="S3" s="2"/>
      <c r="T3" s="2"/>
      <c r="U3" s="2"/>
      <c r="V3" s="2"/>
      <c r="W3" s="2"/>
      <c r="X3" s="2"/>
      <c r="Y3" s="2"/>
      <c r="Z3" s="2"/>
    </row>
    <row r="4" spans="1:26" ht="15.75">
      <c r="A4" s="37" t="s">
        <v>15</v>
      </c>
      <c r="B4" s="38" t="s">
        <v>16</v>
      </c>
      <c r="C4" s="38" t="s">
        <v>253</v>
      </c>
      <c r="D4" s="38" t="s">
        <v>254</v>
      </c>
      <c r="E4" s="39" t="s">
        <v>51</v>
      </c>
      <c r="F4" s="40" t="s">
        <v>52</v>
      </c>
      <c r="G4" s="40" t="s">
        <v>53</v>
      </c>
      <c r="H4" s="39" t="s">
        <v>51</v>
      </c>
      <c r="I4" s="40" t="s">
        <v>52</v>
      </c>
      <c r="J4" s="40" t="s">
        <v>53</v>
      </c>
      <c r="K4" s="40" t="s">
        <v>44</v>
      </c>
      <c r="L4" s="40" t="s">
        <v>45</v>
      </c>
      <c r="M4" s="40" t="s">
        <v>59</v>
      </c>
      <c r="N4" s="2"/>
      <c r="O4" s="2"/>
      <c r="P4" s="2"/>
      <c r="Q4" s="2"/>
      <c r="S4" s="2"/>
      <c r="T4" s="2"/>
      <c r="U4" s="2"/>
      <c r="V4" s="2"/>
      <c r="W4" s="2"/>
      <c r="X4" s="2"/>
      <c r="Y4" s="2"/>
      <c r="Z4" s="2"/>
    </row>
    <row r="5" spans="1:26" ht="15.75">
      <c r="A5" s="34" t="s">
        <v>3</v>
      </c>
      <c r="B5" s="2">
        <v>1</v>
      </c>
      <c r="C5" s="42" t="s">
        <v>0</v>
      </c>
      <c r="D5" s="2">
        <v>1</v>
      </c>
      <c r="E5" s="37" t="s">
        <v>54</v>
      </c>
      <c r="F5" s="8">
        <f>$D$5*COS(RADIANS(B5))</f>
        <v>0.9998476951563913</v>
      </c>
      <c r="G5" s="8">
        <f>$D$5*SIN(RADIANS($B$5))</f>
        <v>0.01745240643728351</v>
      </c>
      <c r="H5" s="105" t="s">
        <v>60</v>
      </c>
      <c r="I5" s="1">
        <f>-0.5</f>
        <v>-0.5</v>
      </c>
      <c r="J5" s="1">
        <f>-0.5</f>
        <v>-0.5</v>
      </c>
      <c r="K5" s="2">
        <v>1</v>
      </c>
      <c r="L5" s="8">
        <f>K5*$L$3</f>
        <v>9.81</v>
      </c>
      <c r="M5" s="2">
        <v>1</v>
      </c>
      <c r="N5" s="2"/>
      <c r="O5" s="2"/>
      <c r="P5" s="2"/>
      <c r="Q5" s="2"/>
      <c r="S5" s="2"/>
      <c r="T5" s="2"/>
      <c r="U5" s="5"/>
      <c r="V5" s="2"/>
      <c r="W5" s="5"/>
      <c r="X5" s="2"/>
      <c r="Y5" s="5"/>
      <c r="Z5" s="2"/>
    </row>
    <row r="6" spans="1:26" ht="15.75">
      <c r="A6" s="34" t="s">
        <v>4</v>
      </c>
      <c r="B6" s="2">
        <v>1</v>
      </c>
      <c r="C6" s="42" t="s">
        <v>1</v>
      </c>
      <c r="D6" s="2">
        <v>3</v>
      </c>
      <c r="E6" s="37" t="s">
        <v>55</v>
      </c>
      <c r="F6" s="8">
        <f>$F$5+$D$6*COS(B69)</f>
        <v>0.2755354625196478</v>
      </c>
      <c r="G6" s="8">
        <f>$G$5+$D$6*SIN(B69)</f>
        <v>2.9287015867124406</v>
      </c>
      <c r="H6" s="105" t="s">
        <v>61</v>
      </c>
      <c r="I6" s="1">
        <v>8</v>
      </c>
      <c r="J6" s="1">
        <v>0.07</v>
      </c>
      <c r="K6" s="2">
        <v>0.2</v>
      </c>
      <c r="L6" s="8">
        <f>K6*$L$3</f>
        <v>1.9620000000000002</v>
      </c>
      <c r="M6" s="2">
        <v>1.1</v>
      </c>
      <c r="N6" s="2"/>
      <c r="O6" s="2"/>
      <c r="P6" s="2"/>
      <c r="Q6" s="2"/>
      <c r="S6" s="2"/>
      <c r="T6" s="2"/>
      <c r="U6" s="5"/>
      <c r="V6" s="2"/>
      <c r="W6" s="5"/>
      <c r="X6" s="2"/>
      <c r="Y6" s="5"/>
      <c r="Z6" s="2"/>
    </row>
    <row r="7" spans="1:26" ht="15.75">
      <c r="A7" s="34" t="s">
        <v>5</v>
      </c>
      <c r="B7" s="2">
        <v>0</v>
      </c>
      <c r="C7" s="42" t="s">
        <v>66</v>
      </c>
      <c r="D7" s="2">
        <v>4</v>
      </c>
      <c r="E7" s="37" t="s">
        <v>56</v>
      </c>
      <c r="F7" s="109">
        <f>B11-D8/D7*(F6-B11)</f>
        <v>4.3622322687401756</v>
      </c>
      <c r="G7" s="1">
        <f>B12-D8/D7*(G6-B12)</f>
        <v>-1.4643507933562203</v>
      </c>
      <c r="H7" s="105" t="s">
        <v>62</v>
      </c>
      <c r="I7" s="1">
        <v>5</v>
      </c>
      <c r="J7" s="1">
        <v>0.2</v>
      </c>
      <c r="K7" s="2">
        <v>0.3</v>
      </c>
      <c r="L7" s="8">
        <f>K7*$L$3</f>
        <v>2.943</v>
      </c>
      <c r="M7" s="2">
        <v>1.2</v>
      </c>
      <c r="N7" s="2"/>
      <c r="O7" s="2"/>
      <c r="P7" s="2"/>
      <c r="Q7" s="2"/>
      <c r="S7" s="2"/>
      <c r="T7" s="2"/>
      <c r="U7" s="5"/>
      <c r="V7" s="2"/>
      <c r="W7" s="5"/>
      <c r="X7" s="2"/>
      <c r="Y7" s="5"/>
      <c r="Z7" s="2"/>
    </row>
    <row r="8" spans="1:26" ht="15.75">
      <c r="A8" s="34" t="s">
        <v>50</v>
      </c>
      <c r="B8" s="2">
        <v>0.01</v>
      </c>
      <c r="C8" s="42" t="s">
        <v>67</v>
      </c>
      <c r="D8" s="10">
        <v>2</v>
      </c>
      <c r="E8" s="37" t="s">
        <v>57</v>
      </c>
      <c r="F8" s="3">
        <f>F7-D10*COS(B117)</f>
        <v>2.376165973154184</v>
      </c>
      <c r="G8" s="1">
        <f>G7-D10*SIN(B117)</f>
        <v>-1.2286801130895886</v>
      </c>
      <c r="H8" s="105" t="s">
        <v>63</v>
      </c>
      <c r="I8" s="1">
        <f>16</f>
        <v>16</v>
      </c>
      <c r="J8" s="1">
        <f>-1</f>
        <v>-1</v>
      </c>
      <c r="K8" s="2">
        <v>0.6</v>
      </c>
      <c r="L8" s="8">
        <f>K8*$L$3</f>
        <v>5.886</v>
      </c>
      <c r="M8" s="2">
        <v>1.5</v>
      </c>
      <c r="N8" s="2"/>
      <c r="O8" s="2"/>
      <c r="P8" s="2"/>
      <c r="Q8" s="2"/>
      <c r="S8" s="2"/>
      <c r="T8" s="11"/>
      <c r="U8" s="12"/>
      <c r="V8" s="11"/>
      <c r="W8" s="5"/>
      <c r="X8" s="2"/>
      <c r="Y8" s="5"/>
      <c r="Z8" s="2"/>
    </row>
    <row r="9" spans="1:26" ht="15.75">
      <c r="A9" s="35" t="s">
        <v>249</v>
      </c>
      <c r="B9" s="2">
        <v>15</v>
      </c>
      <c r="C9" s="104" t="s">
        <v>2</v>
      </c>
      <c r="D9" s="8">
        <f>D7+D8</f>
        <v>6</v>
      </c>
      <c r="E9" s="7"/>
      <c r="H9" s="105" t="s">
        <v>64</v>
      </c>
      <c r="I9" s="1">
        <v>1</v>
      </c>
      <c r="J9" s="1">
        <f>-5</f>
        <v>-5</v>
      </c>
      <c r="K9" s="2">
        <v>0.5</v>
      </c>
      <c r="L9" s="8">
        <f>K9*$L$3</f>
        <v>4.905</v>
      </c>
      <c r="M9" s="2">
        <v>1.4</v>
      </c>
      <c r="N9" s="2"/>
      <c r="O9" s="2"/>
      <c r="P9" s="2"/>
      <c r="Q9" s="2"/>
      <c r="S9" s="2"/>
      <c r="T9" s="2"/>
      <c r="U9" s="5"/>
      <c r="V9" s="2"/>
      <c r="W9" s="5"/>
      <c r="X9" s="2"/>
      <c r="Y9" s="5"/>
      <c r="Z9" s="2"/>
    </row>
    <row r="10" spans="1:26" ht="15.75">
      <c r="A10" s="35" t="s">
        <v>250</v>
      </c>
      <c r="B10" s="10">
        <f>RADIANS(B9)</f>
        <v>0.2617993877991494</v>
      </c>
      <c r="C10" s="42" t="s">
        <v>75</v>
      </c>
      <c r="D10" s="2">
        <v>2</v>
      </c>
      <c r="E10" s="7"/>
      <c r="F10" s="9"/>
      <c r="H10" s="1" t="s">
        <v>349</v>
      </c>
      <c r="I10" s="1" t="s">
        <v>353</v>
      </c>
      <c r="N10" s="2"/>
      <c r="O10" s="2"/>
      <c r="P10" s="2"/>
      <c r="Q10" s="2"/>
      <c r="S10" s="2"/>
      <c r="T10" s="2"/>
      <c r="U10" s="5"/>
      <c r="V10" s="2"/>
      <c r="W10" s="5"/>
      <c r="X10" s="2"/>
      <c r="Y10" s="5"/>
      <c r="Z10" s="2"/>
    </row>
    <row r="11" spans="1:26" ht="15.75">
      <c r="A11" s="36" t="s">
        <v>251</v>
      </c>
      <c r="B11" s="2">
        <v>3</v>
      </c>
      <c r="C11" s="2"/>
      <c r="D11" s="11"/>
      <c r="E11" s="7"/>
      <c r="K11" s="2"/>
      <c r="L11" s="8"/>
      <c r="M11" s="2"/>
      <c r="N11" s="2"/>
      <c r="O11" s="2"/>
      <c r="P11" s="2"/>
      <c r="Q11" s="2"/>
      <c r="S11" s="2"/>
      <c r="T11" s="2"/>
      <c r="U11" s="5"/>
      <c r="V11" s="2"/>
      <c r="W11" s="5"/>
      <c r="X11" s="2"/>
      <c r="Y11" s="5"/>
      <c r="Z11" s="2"/>
    </row>
    <row r="12" spans="1:26" ht="15.75">
      <c r="A12" s="36" t="s">
        <v>252</v>
      </c>
      <c r="B12" s="1">
        <v>0</v>
      </c>
      <c r="C12" s="2"/>
      <c r="D12" s="11"/>
      <c r="H12" s="159" t="s">
        <v>172</v>
      </c>
      <c r="I12" s="159" t="s">
        <v>173</v>
      </c>
      <c r="J12" s="159" t="s">
        <v>174</v>
      </c>
      <c r="K12" s="159" t="s">
        <v>175</v>
      </c>
      <c r="L12" s="149" t="s">
        <v>181</v>
      </c>
      <c r="M12" s="2"/>
      <c r="N12" s="2"/>
      <c r="O12" s="2"/>
      <c r="P12" s="2"/>
      <c r="Q12" s="2"/>
      <c r="S12" s="2"/>
      <c r="T12" s="2"/>
      <c r="U12" s="5"/>
      <c r="V12" s="2"/>
      <c r="W12" s="5"/>
      <c r="X12" s="2"/>
      <c r="Y12" s="5"/>
      <c r="Z12" s="2"/>
    </row>
    <row r="13" spans="1:26" ht="15.75">
      <c r="A13" s="41" t="s">
        <v>74</v>
      </c>
      <c r="B13" s="2">
        <v>0.001</v>
      </c>
      <c r="C13" s="2"/>
      <c r="D13" s="2"/>
      <c r="F13" s="2"/>
      <c r="G13" s="106" t="s">
        <v>176</v>
      </c>
      <c r="H13" s="1">
        <v>2</v>
      </c>
      <c r="I13" s="1">
        <v>3</v>
      </c>
      <c r="J13" s="1">
        <v>4</v>
      </c>
      <c r="K13" s="1">
        <v>5</v>
      </c>
      <c r="L13" s="1">
        <v>0.2</v>
      </c>
      <c r="N13" s="162"/>
      <c r="O13" s="162"/>
      <c r="P13" s="162"/>
      <c r="Q13" s="2"/>
      <c r="S13" s="2"/>
      <c r="T13" s="2"/>
      <c r="U13" s="5"/>
      <c r="V13" s="2"/>
      <c r="W13" s="5"/>
      <c r="X13" s="2"/>
      <c r="Y13" s="2"/>
      <c r="Z13" s="2"/>
    </row>
    <row r="14" spans="1:26" ht="15.75">
      <c r="A14" s="42" t="s">
        <v>255</v>
      </c>
      <c r="B14" s="2">
        <v>-15</v>
      </c>
      <c r="C14" s="2"/>
      <c r="E14" s="2"/>
      <c r="G14" s="107" t="s">
        <v>177</v>
      </c>
      <c r="H14" s="1">
        <v>1</v>
      </c>
      <c r="I14" s="1">
        <v>2</v>
      </c>
      <c r="J14" s="1">
        <v>3</v>
      </c>
      <c r="K14" s="1">
        <v>0.2</v>
      </c>
      <c r="L14" s="1">
        <v>1</v>
      </c>
      <c r="S14" s="2"/>
      <c r="T14" s="2"/>
      <c r="U14" s="2"/>
      <c r="V14" s="2"/>
      <c r="W14" s="2"/>
      <c r="X14" s="2"/>
      <c r="Y14" s="2"/>
      <c r="Z14" s="2"/>
    </row>
    <row r="15" spans="1:12" ht="16.5" thickBot="1">
      <c r="A15" s="42" t="s">
        <v>256</v>
      </c>
      <c r="B15" s="14">
        <f>RADIANS(B14)</f>
        <v>-0.2617993877991494</v>
      </c>
      <c r="C15" s="13"/>
      <c r="E15" s="13"/>
      <c r="F15" s="14"/>
      <c r="G15" s="108" t="s">
        <v>178</v>
      </c>
      <c r="H15" s="13">
        <v>0.1</v>
      </c>
      <c r="I15" s="13">
        <v>0.2</v>
      </c>
      <c r="J15" s="13">
        <v>0.3</v>
      </c>
      <c r="K15" s="13">
        <v>0.4</v>
      </c>
      <c r="L15" s="13">
        <v>0.8</v>
      </c>
    </row>
    <row r="16" spans="1:12" ht="15">
      <c r="A16" s="39" t="s">
        <v>257</v>
      </c>
      <c r="B16" s="8">
        <f>TAN(B15)</f>
        <v>-0.2679491924311227</v>
      </c>
      <c r="C16" s="2"/>
      <c r="E16" s="2"/>
      <c r="F16" s="8"/>
      <c r="G16" s="2" t="s">
        <v>179</v>
      </c>
      <c r="H16" s="15" t="s">
        <v>180</v>
      </c>
      <c r="I16" s="2"/>
      <c r="J16" s="2"/>
      <c r="K16" s="2"/>
      <c r="L16" s="2"/>
    </row>
    <row r="17" spans="1:2" ht="15.75" thickBot="1">
      <c r="A17" s="2"/>
      <c r="B17" s="2"/>
    </row>
    <row r="18" spans="1:4" ht="16.5" thickBot="1">
      <c r="A18" s="43" t="s">
        <v>6</v>
      </c>
      <c r="B18" s="4"/>
      <c r="C18" s="4"/>
      <c r="D18" s="16"/>
    </row>
    <row r="19" spans="1:27" s="94" customFormat="1" ht="15.75">
      <c r="A19" s="92" t="s">
        <v>7</v>
      </c>
      <c r="B19" s="93">
        <f>B5</f>
        <v>1</v>
      </c>
      <c r="C19" s="93">
        <f aca="true" t="shared" si="0" ref="C19:Z19">$B$9+B19</f>
        <v>16</v>
      </c>
      <c r="D19" s="93">
        <f t="shared" si="0"/>
        <v>31</v>
      </c>
      <c r="E19" s="93">
        <f t="shared" si="0"/>
        <v>46</v>
      </c>
      <c r="F19" s="93">
        <f t="shared" si="0"/>
        <v>61</v>
      </c>
      <c r="G19" s="93">
        <f t="shared" si="0"/>
        <v>76</v>
      </c>
      <c r="H19" s="93">
        <f t="shared" si="0"/>
        <v>91</v>
      </c>
      <c r="I19" s="93">
        <f t="shared" si="0"/>
        <v>106</v>
      </c>
      <c r="J19" s="93">
        <f t="shared" si="0"/>
        <v>121</v>
      </c>
      <c r="K19" s="93">
        <f t="shared" si="0"/>
        <v>136</v>
      </c>
      <c r="L19" s="93">
        <f t="shared" si="0"/>
        <v>151</v>
      </c>
      <c r="M19" s="93">
        <f t="shared" si="0"/>
        <v>166</v>
      </c>
      <c r="N19" s="93">
        <f t="shared" si="0"/>
        <v>181</v>
      </c>
      <c r="O19" s="93">
        <f t="shared" si="0"/>
        <v>196</v>
      </c>
      <c r="P19" s="93">
        <f t="shared" si="0"/>
        <v>211</v>
      </c>
      <c r="Q19" s="93">
        <f t="shared" si="0"/>
        <v>226</v>
      </c>
      <c r="R19" s="93">
        <f t="shared" si="0"/>
        <v>241</v>
      </c>
      <c r="S19" s="93">
        <f t="shared" si="0"/>
        <v>256</v>
      </c>
      <c r="T19" s="93">
        <f t="shared" si="0"/>
        <v>271</v>
      </c>
      <c r="U19" s="93">
        <f t="shared" si="0"/>
        <v>286</v>
      </c>
      <c r="V19" s="93">
        <f t="shared" si="0"/>
        <v>301</v>
      </c>
      <c r="W19" s="93">
        <f t="shared" si="0"/>
        <v>316</v>
      </c>
      <c r="X19" s="93">
        <f t="shared" si="0"/>
        <v>331</v>
      </c>
      <c r="Y19" s="93">
        <f t="shared" si="0"/>
        <v>346</v>
      </c>
      <c r="Z19" s="93">
        <f t="shared" si="0"/>
        <v>361</v>
      </c>
      <c r="AA19" s="155"/>
    </row>
    <row r="20" spans="1:26" ht="15.75">
      <c r="A20" s="34" t="s">
        <v>8</v>
      </c>
      <c r="B20" s="2">
        <f>RADIANS(B19)</f>
        <v>0.017453292519943295</v>
      </c>
      <c r="C20" s="2">
        <f>RADIANS(C19)</f>
        <v>0.2792526803190927</v>
      </c>
      <c r="D20" s="2">
        <f aca="true" t="shared" si="1" ref="D20:Z20">RADIANS(D19)</f>
        <v>0.5410520681182421</v>
      </c>
      <c r="E20" s="2">
        <f t="shared" si="1"/>
        <v>0.8028514559173916</v>
      </c>
      <c r="F20" s="2">
        <f t="shared" si="1"/>
        <v>1.064650843716541</v>
      </c>
      <c r="G20" s="2">
        <f t="shared" si="1"/>
        <v>1.3264502315156905</v>
      </c>
      <c r="H20" s="2">
        <f t="shared" si="1"/>
        <v>1.5882496193148399</v>
      </c>
      <c r="I20" s="2">
        <f t="shared" si="1"/>
        <v>1.8500490071139892</v>
      </c>
      <c r="J20" s="2">
        <f t="shared" si="1"/>
        <v>2.111848394913139</v>
      </c>
      <c r="K20" s="2">
        <f t="shared" si="1"/>
        <v>2.3736477827122884</v>
      </c>
      <c r="L20" s="2">
        <f t="shared" si="1"/>
        <v>2.6354471705114375</v>
      </c>
      <c r="M20" s="2">
        <f t="shared" si="1"/>
        <v>2.897246558310587</v>
      </c>
      <c r="N20" s="2">
        <f t="shared" si="1"/>
        <v>3.1590459461097367</v>
      </c>
      <c r="O20" s="2">
        <f t="shared" si="1"/>
        <v>3.420845333908886</v>
      </c>
      <c r="P20" s="2">
        <f t="shared" si="1"/>
        <v>3.6826447217080354</v>
      </c>
      <c r="Q20" s="2">
        <f t="shared" si="1"/>
        <v>3.944444109507185</v>
      </c>
      <c r="R20" s="2">
        <f t="shared" si="1"/>
        <v>4.2062434973063345</v>
      </c>
      <c r="S20" s="2">
        <f t="shared" si="1"/>
        <v>4.468042885105484</v>
      </c>
      <c r="T20" s="2">
        <f t="shared" si="1"/>
        <v>4.729842272904633</v>
      </c>
      <c r="U20" s="2">
        <f t="shared" si="1"/>
        <v>4.991641660703783</v>
      </c>
      <c r="V20" s="2">
        <f t="shared" si="1"/>
        <v>5.253441048502932</v>
      </c>
      <c r="W20" s="2">
        <f t="shared" si="1"/>
        <v>5.515240436302081</v>
      </c>
      <c r="X20" s="2">
        <f t="shared" si="1"/>
        <v>5.777039824101231</v>
      </c>
      <c r="Y20" s="2">
        <f t="shared" si="1"/>
        <v>6.03883921190038</v>
      </c>
      <c r="Z20" s="2">
        <f t="shared" si="1"/>
        <v>6.300638599699529</v>
      </c>
    </row>
    <row r="21" spans="1:26" ht="15.75">
      <c r="A21" s="35" t="s">
        <v>258</v>
      </c>
      <c r="B21" s="2">
        <f>B20-$B$20</f>
        <v>0</v>
      </c>
      <c r="C21" s="2">
        <f>C20-$B$20</f>
        <v>0.2617993877991494</v>
      </c>
      <c r="D21" s="2">
        <f aca="true" t="shared" si="2" ref="D21:Z21">D20-$B$20</f>
        <v>0.5235987755982988</v>
      </c>
      <c r="E21" s="2">
        <f t="shared" si="2"/>
        <v>0.7853981633974483</v>
      </c>
      <c r="F21" s="2">
        <f t="shared" si="2"/>
        <v>1.0471975511965976</v>
      </c>
      <c r="G21" s="2">
        <f t="shared" si="2"/>
        <v>1.3089969389957472</v>
      </c>
      <c r="H21" s="2">
        <f t="shared" si="2"/>
        <v>1.5707963267948966</v>
      </c>
      <c r="I21" s="2">
        <f t="shared" si="2"/>
        <v>1.832595714594046</v>
      </c>
      <c r="J21" s="2">
        <f t="shared" si="2"/>
        <v>2.0943951023931957</v>
      </c>
      <c r="K21" s="2">
        <f t="shared" si="2"/>
        <v>2.3561944901923453</v>
      </c>
      <c r="L21" s="2">
        <f t="shared" si="2"/>
        <v>2.6179938779914944</v>
      </c>
      <c r="M21" s="2">
        <f t="shared" si="2"/>
        <v>2.879793265790644</v>
      </c>
      <c r="N21" s="2">
        <f t="shared" si="2"/>
        <v>3.1415926535897936</v>
      </c>
      <c r="O21" s="2">
        <f t="shared" si="2"/>
        <v>3.4033920413889427</v>
      </c>
      <c r="P21" s="2">
        <f t="shared" si="2"/>
        <v>3.6651914291880923</v>
      </c>
      <c r="Q21" s="2">
        <f t="shared" si="2"/>
        <v>3.926990816987242</v>
      </c>
      <c r="R21" s="2">
        <f t="shared" si="2"/>
        <v>4.188790204786391</v>
      </c>
      <c r="S21" s="2">
        <f t="shared" si="2"/>
        <v>4.4505895925855405</v>
      </c>
      <c r="T21" s="2">
        <f t="shared" si="2"/>
        <v>4.71238898038469</v>
      </c>
      <c r="U21" s="2">
        <f t="shared" si="2"/>
        <v>4.97418836818384</v>
      </c>
      <c r="V21" s="2">
        <f t="shared" si="2"/>
        <v>5.235987755982989</v>
      </c>
      <c r="W21" s="2">
        <f t="shared" si="2"/>
        <v>5.497787143782138</v>
      </c>
      <c r="X21" s="2">
        <f t="shared" si="2"/>
        <v>5.759586531581288</v>
      </c>
      <c r="Y21" s="2">
        <f t="shared" si="2"/>
        <v>6.021385919380437</v>
      </c>
      <c r="Z21" s="2">
        <f t="shared" si="2"/>
        <v>6.283185307179586</v>
      </c>
    </row>
    <row r="22" spans="1:26" ht="15.75">
      <c r="A22" s="34" t="s">
        <v>9</v>
      </c>
      <c r="B22" s="2">
        <f>COS(B21)</f>
        <v>1</v>
      </c>
      <c r="C22" s="2">
        <f aca="true" t="shared" si="3" ref="C22:Z22">COS(C21)</f>
        <v>0.9659258262890683</v>
      </c>
      <c r="D22" s="2">
        <f t="shared" si="3"/>
        <v>0.8660254037844387</v>
      </c>
      <c r="E22" s="2">
        <f t="shared" si="3"/>
        <v>0.7071067811865476</v>
      </c>
      <c r="F22" s="2">
        <f t="shared" si="3"/>
        <v>0.5000000000000001</v>
      </c>
      <c r="G22" s="2">
        <f t="shared" si="3"/>
        <v>0.25881904510252074</v>
      </c>
      <c r="H22" s="2">
        <f t="shared" si="3"/>
        <v>6.1257422745431E-17</v>
      </c>
      <c r="I22" s="2">
        <f t="shared" si="3"/>
        <v>-0.25881904510252063</v>
      </c>
      <c r="J22" s="2">
        <f t="shared" si="3"/>
        <v>-0.5000000000000002</v>
      </c>
      <c r="K22" s="2">
        <f t="shared" si="3"/>
        <v>-0.7071067811865478</v>
      </c>
      <c r="L22" s="2">
        <f t="shared" si="3"/>
        <v>-0.8660254037844387</v>
      </c>
      <c r="M22" s="2">
        <f t="shared" si="3"/>
        <v>-0.9659258262890683</v>
      </c>
      <c r="N22" s="2">
        <f t="shared" si="3"/>
        <v>-1</v>
      </c>
      <c r="O22" s="2">
        <f t="shared" si="3"/>
        <v>-0.9659258262890683</v>
      </c>
      <c r="P22" s="2">
        <f t="shared" si="3"/>
        <v>-0.8660254037844386</v>
      </c>
      <c r="Q22" s="2">
        <f t="shared" si="3"/>
        <v>-0.7071067811865474</v>
      </c>
      <c r="R22" s="2">
        <f t="shared" si="3"/>
        <v>-0.4999999999999996</v>
      </c>
      <c r="S22" s="2">
        <f t="shared" si="3"/>
        <v>-0.25881904510252063</v>
      </c>
      <c r="T22" s="2">
        <f t="shared" si="3"/>
        <v>-1.83772268236293E-16</v>
      </c>
      <c r="U22" s="2">
        <f t="shared" si="3"/>
        <v>0.25881904510252113</v>
      </c>
      <c r="V22" s="2">
        <f t="shared" si="3"/>
        <v>0.5000000000000001</v>
      </c>
      <c r="W22" s="2">
        <f t="shared" si="3"/>
        <v>0.7071067811865474</v>
      </c>
      <c r="X22" s="2">
        <f t="shared" si="3"/>
        <v>0.8660254037844388</v>
      </c>
      <c r="Y22" s="2">
        <f t="shared" si="3"/>
        <v>0.9659258262890683</v>
      </c>
      <c r="Z22" s="2">
        <f t="shared" si="3"/>
        <v>1</v>
      </c>
    </row>
    <row r="23" spans="1:26" ht="15.75">
      <c r="A23" s="34" t="s">
        <v>10</v>
      </c>
      <c r="B23" s="2">
        <f>SIN(B21)</f>
        <v>0</v>
      </c>
      <c r="C23" s="2">
        <f aca="true" t="shared" si="4" ref="C23:Z23">SIN(C21)</f>
        <v>0.25881904510252074</v>
      </c>
      <c r="D23" s="2">
        <f t="shared" si="4"/>
        <v>0.49999999999999994</v>
      </c>
      <c r="E23" s="2">
        <f t="shared" si="4"/>
        <v>0.7071067811865475</v>
      </c>
      <c r="F23" s="2">
        <f t="shared" si="4"/>
        <v>0.8660254037844386</v>
      </c>
      <c r="G23" s="2">
        <f t="shared" si="4"/>
        <v>0.9659258262890683</v>
      </c>
      <c r="H23" s="2">
        <f t="shared" si="4"/>
        <v>1</v>
      </c>
      <c r="I23" s="2">
        <f t="shared" si="4"/>
        <v>0.9659258262890683</v>
      </c>
      <c r="J23" s="2">
        <f t="shared" si="4"/>
        <v>0.8660254037844385</v>
      </c>
      <c r="K23" s="2">
        <f t="shared" si="4"/>
        <v>0.7071067811865472</v>
      </c>
      <c r="L23" s="2">
        <f t="shared" si="4"/>
        <v>0.49999999999999994</v>
      </c>
      <c r="M23" s="2">
        <f t="shared" si="4"/>
        <v>0.2588190451025206</v>
      </c>
      <c r="N23" s="2">
        <f t="shared" si="4"/>
        <v>-3.215743643592006E-16</v>
      </c>
      <c r="O23" s="2">
        <f t="shared" si="4"/>
        <v>-0.2588190451025208</v>
      </c>
      <c r="P23" s="2">
        <f t="shared" si="4"/>
        <v>-0.5000000000000001</v>
      </c>
      <c r="Q23" s="2">
        <f t="shared" si="4"/>
        <v>-0.7071067811865477</v>
      </c>
      <c r="R23" s="2">
        <f t="shared" si="4"/>
        <v>-0.8660254037844388</v>
      </c>
      <c r="S23" s="2">
        <f t="shared" si="4"/>
        <v>-0.9659258262890683</v>
      </c>
      <c r="T23" s="2">
        <f t="shared" si="4"/>
        <v>-1</v>
      </c>
      <c r="U23" s="2">
        <f t="shared" si="4"/>
        <v>-0.9659258262890682</v>
      </c>
      <c r="V23" s="2">
        <f t="shared" si="4"/>
        <v>-0.8660254037844386</v>
      </c>
      <c r="W23" s="2">
        <f t="shared" si="4"/>
        <v>-0.7071067811865477</v>
      </c>
      <c r="X23" s="2">
        <f t="shared" si="4"/>
        <v>-0.49999999999999967</v>
      </c>
      <c r="Y23" s="2">
        <f t="shared" si="4"/>
        <v>-0.2588190451025207</v>
      </c>
      <c r="Z23" s="2">
        <f t="shared" si="4"/>
        <v>-2.45029690981724E-16</v>
      </c>
    </row>
    <row r="24" spans="1:26" ht="15.75">
      <c r="A24" s="34" t="s">
        <v>11</v>
      </c>
      <c r="B24" s="2">
        <f>$B$7</f>
        <v>0</v>
      </c>
      <c r="C24" s="2">
        <f>B432/$B$3</f>
        <v>0.006288880435606257</v>
      </c>
      <c r="D24" s="2">
        <f aca="true" t="shared" si="5" ref="D24:Z24">C432/$B$3</f>
        <v>-0.009704362841058889</v>
      </c>
      <c r="E24" s="2">
        <f t="shared" si="5"/>
        <v>-0.012888854473124973</v>
      </c>
      <c r="F24" s="2">
        <f t="shared" si="5"/>
        <v>-0.006367683946921706</v>
      </c>
      <c r="G24" s="2">
        <f t="shared" si="5"/>
        <v>-0.0014397783802426413</v>
      </c>
      <c r="H24" s="2">
        <f t="shared" si="5"/>
        <v>0.00016890442070544376</v>
      </c>
      <c r="I24" s="2">
        <f t="shared" si="5"/>
        <v>0.0009613771631118526</v>
      </c>
      <c r="J24" s="2">
        <f t="shared" si="5"/>
        <v>0.00188885846291962</v>
      </c>
      <c r="K24" s="2">
        <f t="shared" si="5"/>
        <v>0.002168857709275059</v>
      </c>
      <c r="L24" s="2">
        <f t="shared" si="5"/>
        <v>0.0012659168448187427</v>
      </c>
      <c r="M24" s="2">
        <f t="shared" si="5"/>
        <v>-0.00020379389912028145</v>
      </c>
      <c r="N24" s="2">
        <f t="shared" si="5"/>
        <v>-0.00129567232025083</v>
      </c>
      <c r="O24" s="2">
        <f t="shared" si="5"/>
        <v>-0.001817442369909707</v>
      </c>
      <c r="P24" s="2">
        <f t="shared" si="5"/>
        <v>-0.002262129791075629</v>
      </c>
      <c r="Q24" s="2">
        <f t="shared" si="5"/>
        <v>-0.0028791901522318354</v>
      </c>
      <c r="R24" s="2">
        <f t="shared" si="5"/>
        <v>-0.0032291758885182663</v>
      </c>
      <c r="S24" s="2">
        <f t="shared" si="5"/>
        <v>-0.002784354403165966</v>
      </c>
      <c r="T24" s="2">
        <f t="shared" si="5"/>
        <v>-0.0017155338183785455</v>
      </c>
      <c r="U24" s="2">
        <f t="shared" si="5"/>
        <v>-0.000747799874334464</v>
      </c>
      <c r="V24" s="2">
        <f t="shared" si="5"/>
        <v>-6.718111604999688E-05</v>
      </c>
      <c r="W24" s="2">
        <f t="shared" si="5"/>
        <v>0.0015659016820332478</v>
      </c>
      <c r="X24" s="2">
        <f t="shared" si="5"/>
        <v>0.006149948762021312</v>
      </c>
      <c r="Y24" s="2">
        <f t="shared" si="5"/>
        <v>0.01348238258655412</v>
      </c>
      <c r="Z24" s="2">
        <f t="shared" si="5"/>
        <v>0.016841216568443673</v>
      </c>
    </row>
    <row r="25" spans="1:26" ht="15.75">
      <c r="A25" s="34" t="s">
        <v>259</v>
      </c>
      <c r="B25" s="2">
        <f>C25</f>
        <v>0.2617993877991494</v>
      </c>
      <c r="C25" s="2">
        <f aca="true" t="shared" si="6" ref="C25:Z25">(C20-B20)/B26</f>
        <v>0.2617993877991494</v>
      </c>
      <c r="D25" s="2">
        <f t="shared" si="6"/>
        <v>0.2617993877991494</v>
      </c>
      <c r="E25" s="2">
        <f t="shared" si="6"/>
        <v>0.261369063226685</v>
      </c>
      <c r="F25" s="2">
        <f t="shared" si="6"/>
        <v>0.2620336907796043</v>
      </c>
      <c r="G25" s="2">
        <f t="shared" si="6"/>
        <v>0.26292019530109595</v>
      </c>
      <c r="H25" s="2">
        <f t="shared" si="6"/>
        <v>0.26336150782573736</v>
      </c>
      <c r="I25" s="2">
        <f t="shared" si="6"/>
        <v>0.2634618355545007</v>
      </c>
      <c r="J25" s="2">
        <f t="shared" si="6"/>
        <v>0.2634500421097896</v>
      </c>
      <c r="K25" s="2">
        <f t="shared" si="6"/>
        <v>0.26338291023860755</v>
      </c>
      <c r="L25" s="2">
        <f t="shared" si="6"/>
        <v>0.2632511188967587</v>
      </c>
      <c r="M25" s="2">
        <f t="shared" si="6"/>
        <v>0.2630999922358256</v>
      </c>
      <c r="N25" s="2">
        <f t="shared" si="6"/>
        <v>0.26301190701987476</v>
      </c>
      <c r="O25" s="2">
        <f t="shared" si="6"/>
        <v>0.2630260753152477</v>
      </c>
      <c r="P25" s="2">
        <f t="shared" si="6"/>
        <v>0.2631161594456674</v>
      </c>
      <c r="Q25" s="2">
        <f t="shared" si="6"/>
        <v>0.26324263149958177</v>
      </c>
      <c r="R25" s="2">
        <f t="shared" si="6"/>
        <v>0.263400272382004</v>
      </c>
      <c r="S25" s="2">
        <f t="shared" si="6"/>
        <v>0.2636012842440597</v>
      </c>
      <c r="T25" s="2">
        <f t="shared" si="6"/>
        <v>0.26382723116922135</v>
      </c>
      <c r="U25" s="2">
        <f t="shared" si="6"/>
        <v>0.26402251396760923</v>
      </c>
      <c r="V25" s="2">
        <f t="shared" si="6"/>
        <v>0.26414308152951815</v>
      </c>
      <c r="W25" s="2">
        <f t="shared" si="6"/>
        <v>0.26419571023950944</v>
      </c>
      <c r="X25" s="2">
        <f t="shared" si="6"/>
        <v>0.2642004415029274</v>
      </c>
      <c r="Y25" s="2">
        <f t="shared" si="6"/>
        <v>0.2640901841849173</v>
      </c>
      <c r="Z25" s="2">
        <f t="shared" si="6"/>
        <v>0.2636580389914379</v>
      </c>
    </row>
    <row r="26" spans="1:26" ht="15.75">
      <c r="A26" s="45" t="s">
        <v>12</v>
      </c>
      <c r="B26" s="2">
        <f>$B$6</f>
        <v>1</v>
      </c>
      <c r="C26" s="2">
        <f aca="true" t="shared" si="7" ref="C26:Z26">B26+B24*B25</f>
        <v>1</v>
      </c>
      <c r="D26" s="2">
        <f t="shared" si="7"/>
        <v>1.0016464250479837</v>
      </c>
      <c r="E26" s="2">
        <f t="shared" si="7"/>
        <v>0.9991058287972137</v>
      </c>
      <c r="F26" s="2">
        <f t="shared" si="7"/>
        <v>0.9957370809775079</v>
      </c>
      <c r="G26" s="2">
        <f t="shared" si="7"/>
        <v>0.9940685332511779</v>
      </c>
      <c r="H26" s="2">
        <f t="shared" si="7"/>
        <v>0.9936899864382542</v>
      </c>
      <c r="I26" s="2">
        <f t="shared" si="7"/>
        <v>0.9937344693611696</v>
      </c>
      <c r="J26" s="2">
        <f t="shared" si="7"/>
        <v>0.9939877555532233</v>
      </c>
      <c r="K26" s="2">
        <f t="shared" si="7"/>
        <v>0.9944853753948188</v>
      </c>
      <c r="L26" s="2">
        <f t="shared" si="7"/>
        <v>0.9950566154501812</v>
      </c>
      <c r="M26" s="2">
        <f t="shared" si="7"/>
        <v>0.9953898694760099</v>
      </c>
      <c r="N26" s="2">
        <f t="shared" si="7"/>
        <v>0.9953362513027337</v>
      </c>
      <c r="O26" s="2">
        <f t="shared" si="7"/>
        <v>0.9949954740549117</v>
      </c>
      <c r="P26" s="2">
        <f t="shared" si="7"/>
        <v>0.9945174393212427</v>
      </c>
      <c r="Q26" s="2">
        <f t="shared" si="7"/>
        <v>0.9939222364184472</v>
      </c>
      <c r="R26" s="2">
        <f t="shared" si="7"/>
        <v>0.9931643108261861</v>
      </c>
      <c r="S26" s="2">
        <f t="shared" si="7"/>
        <v>0.992313745017581</v>
      </c>
      <c r="T26" s="2">
        <f t="shared" si="7"/>
        <v>0.9915797856211158</v>
      </c>
      <c r="U26" s="2">
        <f t="shared" si="7"/>
        <v>0.9911271810838358</v>
      </c>
      <c r="V26" s="2">
        <f t="shared" si="7"/>
        <v>0.9909297450810693</v>
      </c>
      <c r="W26" s="2">
        <f t="shared" si="7"/>
        <v>0.9909119996540553</v>
      </c>
      <c r="X26" s="2">
        <f t="shared" si="7"/>
        <v>0.9913257041611053</v>
      </c>
      <c r="Y26" s="2">
        <f t="shared" si="7"/>
        <v>0.9929505233392517</v>
      </c>
      <c r="Z26" s="2">
        <f t="shared" si="7"/>
        <v>0.9965110882397863</v>
      </c>
    </row>
    <row r="27" spans="1:26" ht="15.75">
      <c r="A27" s="34" t="s">
        <v>13</v>
      </c>
      <c r="B27" s="2">
        <f>B20</f>
        <v>0.017453292519943295</v>
      </c>
      <c r="C27" s="2">
        <f>B27+B26*C25</f>
        <v>0.2792526803190927</v>
      </c>
      <c r="D27" s="2">
        <f aca="true" t="shared" si="8" ref="D27:Z27">C27+C26*D25</f>
        <v>0.5410520681182421</v>
      </c>
      <c r="E27" s="2">
        <f t="shared" si="8"/>
        <v>0.8028514559173916</v>
      </c>
      <c r="F27" s="2">
        <f t="shared" si="8"/>
        <v>1.064650843716541</v>
      </c>
      <c r="G27" s="2">
        <f t="shared" si="8"/>
        <v>1.3264502315156905</v>
      </c>
      <c r="H27" s="2">
        <f t="shared" si="8"/>
        <v>1.5882496193148399</v>
      </c>
      <c r="I27" s="2">
        <f t="shared" si="8"/>
        <v>1.8500490071139892</v>
      </c>
      <c r="J27" s="2">
        <f t="shared" si="8"/>
        <v>2.111848394913139</v>
      </c>
      <c r="K27" s="2">
        <f t="shared" si="8"/>
        <v>2.3736477827122884</v>
      </c>
      <c r="L27" s="2">
        <f t="shared" si="8"/>
        <v>2.6354471705114375</v>
      </c>
      <c r="M27" s="2">
        <f t="shared" si="8"/>
        <v>2.897246558310587</v>
      </c>
      <c r="N27" s="2">
        <f t="shared" si="8"/>
        <v>3.1590459461097367</v>
      </c>
      <c r="O27" s="2">
        <f t="shared" si="8"/>
        <v>3.420845333908886</v>
      </c>
      <c r="P27" s="2">
        <f t="shared" si="8"/>
        <v>3.6826447217080354</v>
      </c>
      <c r="Q27" s="2">
        <f t="shared" si="8"/>
        <v>3.944444109507185</v>
      </c>
      <c r="R27" s="2">
        <f t="shared" si="8"/>
        <v>4.2062434973063345</v>
      </c>
      <c r="S27" s="2">
        <f t="shared" si="8"/>
        <v>4.468042885105484</v>
      </c>
      <c r="T27" s="2">
        <f t="shared" si="8"/>
        <v>4.729842272904633</v>
      </c>
      <c r="U27" s="2">
        <f t="shared" si="8"/>
        <v>4.991641660703783</v>
      </c>
      <c r="V27" s="2">
        <f t="shared" si="8"/>
        <v>5.253441048502932</v>
      </c>
      <c r="W27" s="2">
        <f t="shared" si="8"/>
        <v>5.515240436302081</v>
      </c>
      <c r="X27" s="2">
        <f t="shared" si="8"/>
        <v>5.777039824101231</v>
      </c>
      <c r="Y27" s="2">
        <f t="shared" si="8"/>
        <v>6.03883921190038</v>
      </c>
      <c r="Z27" s="2">
        <f t="shared" si="8"/>
        <v>6.300638599699529</v>
      </c>
    </row>
    <row r="28" spans="1:26" ht="16.5" thickBot="1">
      <c r="A28" s="46" t="s">
        <v>14</v>
      </c>
      <c r="B28" s="13">
        <f aca="true" t="shared" si="9" ref="B28:Z28">B27-B20</f>
        <v>0</v>
      </c>
      <c r="C28" s="13">
        <f t="shared" si="9"/>
        <v>0</v>
      </c>
      <c r="D28" s="13">
        <f t="shared" si="9"/>
        <v>0</v>
      </c>
      <c r="E28" s="13">
        <f t="shared" si="9"/>
        <v>0</v>
      </c>
      <c r="F28" s="13">
        <f t="shared" si="9"/>
        <v>0</v>
      </c>
      <c r="G28" s="13">
        <f t="shared" si="9"/>
        <v>0</v>
      </c>
      <c r="H28" s="13">
        <f t="shared" si="9"/>
        <v>0</v>
      </c>
      <c r="I28" s="13">
        <f t="shared" si="9"/>
        <v>0</v>
      </c>
      <c r="J28" s="13">
        <f t="shared" si="9"/>
        <v>0</v>
      </c>
      <c r="K28" s="13">
        <f t="shared" si="9"/>
        <v>0</v>
      </c>
      <c r="L28" s="13">
        <f t="shared" si="9"/>
        <v>0</v>
      </c>
      <c r="M28" s="13">
        <f t="shared" si="9"/>
        <v>0</v>
      </c>
      <c r="N28" s="13">
        <f t="shared" si="9"/>
        <v>0</v>
      </c>
      <c r="O28" s="13">
        <f t="shared" si="9"/>
        <v>0</v>
      </c>
      <c r="P28" s="13">
        <f t="shared" si="9"/>
        <v>0</v>
      </c>
      <c r="Q28" s="13">
        <f t="shared" si="9"/>
        <v>0</v>
      </c>
      <c r="R28" s="13">
        <f t="shared" si="9"/>
        <v>0</v>
      </c>
      <c r="S28" s="13">
        <f t="shared" si="9"/>
        <v>0</v>
      </c>
      <c r="T28" s="13">
        <f t="shared" si="9"/>
        <v>0</v>
      </c>
      <c r="U28" s="13">
        <f t="shared" si="9"/>
        <v>0</v>
      </c>
      <c r="V28" s="13">
        <f t="shared" si="9"/>
        <v>0</v>
      </c>
      <c r="W28" s="13">
        <f t="shared" si="9"/>
        <v>0</v>
      </c>
      <c r="X28" s="13">
        <f t="shared" si="9"/>
        <v>0</v>
      </c>
      <c r="Y28" s="13">
        <f t="shared" si="9"/>
        <v>0</v>
      </c>
      <c r="Z28" s="13">
        <f t="shared" si="9"/>
        <v>0</v>
      </c>
    </row>
    <row r="29" ht="16.5" thickBot="1">
      <c r="A29" s="43" t="s">
        <v>46</v>
      </c>
    </row>
    <row r="30" spans="1:26" ht="16.5" thickBot="1">
      <c r="A30" s="43" t="s">
        <v>17</v>
      </c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47" t="s">
        <v>18</v>
      </c>
      <c r="B31" s="17">
        <f aca="true" t="shared" si="10" ref="B31:Z31">$F$5*COS(B21)-$G$5*SIN(B21)</f>
        <v>0.9998476951563913</v>
      </c>
      <c r="C31" s="17">
        <f t="shared" si="10"/>
        <v>0.9612616959383189</v>
      </c>
      <c r="D31" s="17">
        <f t="shared" si="10"/>
        <v>0.8571673007021124</v>
      </c>
      <c r="E31" s="17">
        <f t="shared" si="10"/>
        <v>0.6946583704589974</v>
      </c>
      <c r="F31" s="17">
        <f t="shared" si="10"/>
        <v>0.48480962024633717</v>
      </c>
      <c r="G31" s="17">
        <f t="shared" si="10"/>
        <v>0.24192189559966773</v>
      </c>
      <c r="H31" s="17">
        <f t="shared" si="10"/>
        <v>-0.01745240643728345</v>
      </c>
      <c r="I31" s="17">
        <f t="shared" si="10"/>
        <v>-0.2756373558169991</v>
      </c>
      <c r="J31" s="17">
        <f t="shared" si="10"/>
        <v>-0.5150380749100545</v>
      </c>
      <c r="K31" s="17">
        <f t="shared" si="10"/>
        <v>-0.7193398003386514</v>
      </c>
      <c r="L31" s="17">
        <f t="shared" si="10"/>
        <v>-0.8746197071393959</v>
      </c>
      <c r="M31" s="17">
        <f t="shared" si="10"/>
        <v>-0.9702957262759966</v>
      </c>
      <c r="N31" s="17">
        <f t="shared" si="10"/>
        <v>-0.9998476951563913</v>
      </c>
      <c r="O31" s="17">
        <f t="shared" si="10"/>
        <v>-0.9612616959383189</v>
      </c>
      <c r="P31" s="17">
        <f t="shared" si="10"/>
        <v>-0.8571673007021123</v>
      </c>
      <c r="Q31" s="17">
        <f t="shared" si="10"/>
        <v>-0.6946583704589971</v>
      </c>
      <c r="R31" s="17">
        <f t="shared" si="10"/>
        <v>-0.48480962024633667</v>
      </c>
      <c r="S31" s="17">
        <f t="shared" si="10"/>
        <v>-0.24192189559966762</v>
      </c>
      <c r="T31" s="17">
        <f t="shared" si="10"/>
        <v>0.017452406437283328</v>
      </c>
      <c r="U31" s="17">
        <f t="shared" si="10"/>
        <v>0.27563735581699955</v>
      </c>
      <c r="V31" s="17">
        <f t="shared" si="10"/>
        <v>0.5150380749100544</v>
      </c>
      <c r="W31" s="17">
        <f t="shared" si="10"/>
        <v>0.719339800338651</v>
      </c>
      <c r="X31" s="17">
        <f t="shared" si="10"/>
        <v>0.874619707139396</v>
      </c>
      <c r="Y31" s="17">
        <f t="shared" si="10"/>
        <v>0.9702957262759966</v>
      </c>
      <c r="Z31" s="17">
        <f t="shared" si="10"/>
        <v>0.9998476951563913</v>
      </c>
    </row>
    <row r="32" spans="1:26" ht="15.75">
      <c r="A32" s="48" t="s">
        <v>19</v>
      </c>
      <c r="B32" s="2">
        <f aca="true" t="shared" si="11" ref="B32:Z32">$F$5*SIN(B21)+$G$5*COS(B21)</f>
        <v>0.01745240643728351</v>
      </c>
      <c r="C32" s="2">
        <f t="shared" si="11"/>
        <v>0.2756373558169992</v>
      </c>
      <c r="D32" s="2">
        <f t="shared" si="11"/>
        <v>0.5150380749100542</v>
      </c>
      <c r="E32" s="2">
        <f t="shared" si="11"/>
        <v>0.7193398003386511</v>
      </c>
      <c r="F32" s="2">
        <f t="shared" si="11"/>
        <v>0.8746197071393957</v>
      </c>
      <c r="G32" s="2">
        <f t="shared" si="11"/>
        <v>0.9702957262759966</v>
      </c>
      <c r="H32" s="2">
        <f t="shared" si="11"/>
        <v>0.9998476951563913</v>
      </c>
      <c r="I32" s="2">
        <f t="shared" si="11"/>
        <v>0.9612616959383189</v>
      </c>
      <c r="J32" s="2">
        <f t="shared" si="11"/>
        <v>0.8571673007021121</v>
      </c>
      <c r="K32" s="2">
        <f t="shared" si="11"/>
        <v>0.694658370458997</v>
      </c>
      <c r="L32" s="2">
        <f t="shared" si="11"/>
        <v>0.484809620246337</v>
      </c>
      <c r="M32" s="2">
        <f t="shared" si="11"/>
        <v>0.24192189559966756</v>
      </c>
      <c r="N32" s="2">
        <f t="shared" si="11"/>
        <v>-0.017452406437283834</v>
      </c>
      <c r="O32" s="2">
        <f t="shared" si="11"/>
        <v>-0.2756373558169992</v>
      </c>
      <c r="P32" s="2">
        <f t="shared" si="11"/>
        <v>-0.5150380749100544</v>
      </c>
      <c r="Q32" s="2">
        <f t="shared" si="11"/>
        <v>-0.7193398003386513</v>
      </c>
      <c r="R32" s="2">
        <f t="shared" si="11"/>
        <v>-0.874619707139396</v>
      </c>
      <c r="S32" s="2">
        <f t="shared" si="11"/>
        <v>-0.9702957262759966</v>
      </c>
      <c r="T32" s="2">
        <f t="shared" si="11"/>
        <v>-0.9998476951563913</v>
      </c>
      <c r="U32" s="2">
        <f t="shared" si="11"/>
        <v>-0.9612616959383188</v>
      </c>
      <c r="V32" s="2">
        <f t="shared" si="11"/>
        <v>-0.8571673007021123</v>
      </c>
      <c r="W32" s="2">
        <f t="shared" si="11"/>
        <v>-0.6946583704589975</v>
      </c>
      <c r="X32" s="2">
        <f t="shared" si="11"/>
        <v>-0.4848096202463367</v>
      </c>
      <c r="Y32" s="2">
        <f t="shared" si="11"/>
        <v>-0.24192189559966767</v>
      </c>
      <c r="Z32" s="2">
        <f t="shared" si="11"/>
        <v>0.017452406437283265</v>
      </c>
    </row>
    <row r="33" spans="1:26" ht="15.75">
      <c r="A33" s="48" t="s">
        <v>20</v>
      </c>
      <c r="B33" s="2">
        <f>-B26*B32</f>
        <v>-0.01745240643728351</v>
      </c>
      <c r="C33" s="2">
        <f>-C26*C32</f>
        <v>-0.2756373558169992</v>
      </c>
      <c r="D33" s="2">
        <f aca="true" t="shared" si="12" ref="D33:Z33">-D26*D32</f>
        <v>-0.5158860464972513</v>
      </c>
      <c r="E33" s="2">
        <f t="shared" si="12"/>
        <v>-0.7186965874041702</v>
      </c>
      <c r="F33" s="2">
        <f t="shared" si="12"/>
        <v>-0.8708912741523848</v>
      </c>
      <c r="G33" s="2">
        <f t="shared" si="12"/>
        <v>-0.9645404494390664</v>
      </c>
      <c r="H33" s="2">
        <f t="shared" si="12"/>
        <v>-0.9935386426402742</v>
      </c>
      <c r="I33" s="2">
        <f t="shared" si="12"/>
        <v>-0.9552388813304833</v>
      </c>
      <c r="J33" s="2">
        <f t="shared" si="12"/>
        <v>-0.8520138013585072</v>
      </c>
      <c r="K33" s="2">
        <f t="shared" si="12"/>
        <v>-0.6908275903170688</v>
      </c>
      <c r="L33" s="2">
        <f t="shared" si="12"/>
        <v>-0.48241301986000773</v>
      </c>
      <c r="M33" s="2">
        <f t="shared" si="12"/>
        <v>-0.24080660408434199</v>
      </c>
      <c r="N33" s="2">
        <f t="shared" si="12"/>
        <v>0.01737101279949779</v>
      </c>
      <c r="O33" s="2">
        <f t="shared" si="12"/>
        <v>0.2742579215183775</v>
      </c>
      <c r="P33" s="2">
        <f t="shared" si="12"/>
        <v>0.5122143474124896</v>
      </c>
      <c r="Q33" s="2">
        <f t="shared" si="12"/>
        <v>0.7149678230973916</v>
      </c>
      <c r="R33" s="2">
        <f t="shared" si="12"/>
        <v>0.8686410786760989</v>
      </c>
      <c r="S33" s="2">
        <f t="shared" si="12"/>
        <v>0.9628377859154879</v>
      </c>
      <c r="T33" s="2">
        <f t="shared" si="12"/>
        <v>0.9914287632169412</v>
      </c>
      <c r="U33" s="2">
        <f t="shared" si="12"/>
        <v>0.9527325949792131</v>
      </c>
      <c r="V33" s="2">
        <f t="shared" si="12"/>
        <v>0.8493925747765725</v>
      </c>
      <c r="W33" s="2">
        <f t="shared" si="12"/>
        <v>0.6883453149479527</v>
      </c>
      <c r="X33" s="2">
        <f t="shared" si="12"/>
        <v>0.4806042381747778</v>
      </c>
      <c r="Y33" s="2">
        <f t="shared" si="12"/>
        <v>0.24021647284291384</v>
      </c>
      <c r="Z33" s="2">
        <f t="shared" si="12"/>
        <v>-0.0173915165312202</v>
      </c>
    </row>
    <row r="34" spans="1:26" ht="15.75">
      <c r="A34" s="48" t="s">
        <v>21</v>
      </c>
      <c r="B34" s="2">
        <f>B26*B31</f>
        <v>0.9998476951563913</v>
      </c>
      <c r="C34" s="2">
        <f aca="true" t="shared" si="13" ref="C34:Z34">C26*C31</f>
        <v>0.9612616959383189</v>
      </c>
      <c r="D34" s="2">
        <f t="shared" si="13"/>
        <v>0.858578562416301</v>
      </c>
      <c r="E34" s="2">
        <f t="shared" si="13"/>
        <v>0.6940372269483585</v>
      </c>
      <c r="F34" s="2">
        <f t="shared" si="13"/>
        <v>0.4827429160939019</v>
      </c>
      <c r="G34" s="2">
        <f t="shared" si="13"/>
        <v>0.2404869439201063</v>
      </c>
      <c r="H34" s="2">
        <f t="shared" si="13"/>
        <v>-0.01734228151597909</v>
      </c>
      <c r="I34" s="2">
        <f t="shared" si="13"/>
        <v>-0.2739103415189215</v>
      </c>
      <c r="J34" s="2">
        <f t="shared" si="13"/>
        <v>-0.5119415401042979</v>
      </c>
      <c r="K34" s="2">
        <f t="shared" si="13"/>
        <v>-0.7153729113762178</v>
      </c>
      <c r="L34" s="2">
        <f t="shared" si="13"/>
        <v>-0.870296125592156</v>
      </c>
      <c r="M34" s="2">
        <f t="shared" si="13"/>
        <v>-0.9658225363309945</v>
      </c>
      <c r="N34" s="2">
        <f t="shared" si="13"/>
        <v>-0.9951846567706409</v>
      </c>
      <c r="O34" s="2">
        <f t="shared" si="13"/>
        <v>-0.956451036840976</v>
      </c>
      <c r="P34" s="2">
        <f t="shared" si="13"/>
        <v>-0.8524678289641664</v>
      </c>
      <c r="Q34" s="2">
        <f t="shared" si="13"/>
        <v>-0.6904364011134007</v>
      </c>
      <c r="R34" s="2">
        <f t="shared" si="13"/>
        <v>-0.48149561237385796</v>
      </c>
      <c r="S34" s="2">
        <f t="shared" si="13"/>
        <v>-0.24006242222425841</v>
      </c>
      <c r="T34" s="2">
        <f t="shared" si="13"/>
        <v>0.017305453433653983</v>
      </c>
      <c r="U34" s="2">
        <f t="shared" si="13"/>
        <v>0.273191675472305</v>
      </c>
      <c r="V34" s="2">
        <f t="shared" si="13"/>
        <v>0.5103665482776649</v>
      </c>
      <c r="W34" s="2">
        <f t="shared" si="13"/>
        <v>0.7128024399843215</v>
      </c>
      <c r="X34" s="2">
        <f t="shared" si="13"/>
        <v>0.8670329970531414</v>
      </c>
      <c r="Y34" s="2">
        <f t="shared" si="13"/>
        <v>0.9634556491995901</v>
      </c>
      <c r="Z34" s="2">
        <f t="shared" si="13"/>
        <v>0.9963593147743376</v>
      </c>
    </row>
    <row r="35" spans="1:26" ht="15.75">
      <c r="A35" s="48" t="s">
        <v>22</v>
      </c>
      <c r="B35" s="2">
        <f aca="true" t="shared" si="14" ref="B35:G35">-B24*B32-((B26)^2)*B31</f>
        <v>-0.9998476951563913</v>
      </c>
      <c r="C35" s="2">
        <f t="shared" si="14"/>
        <v>-0.9629951463126386</v>
      </c>
      <c r="D35" s="2">
        <f t="shared" si="14"/>
        <v>-0.8549940313112374</v>
      </c>
      <c r="E35" s="2">
        <f t="shared" si="14"/>
        <v>-0.6841451728430679</v>
      </c>
      <c r="F35" s="2">
        <f t="shared" si="14"/>
        <v>-0.475115720265099</v>
      </c>
      <c r="G35" s="2">
        <f t="shared" si="14"/>
        <v>-0.23766349279958435</v>
      </c>
      <c r="H35" s="2">
        <f aca="true" t="shared" si="15" ref="H35:Z35">-H24*H32-H31*(H26)^2</f>
        <v>0.01706397278867759</v>
      </c>
      <c r="I35" s="2">
        <f t="shared" si="15"/>
        <v>0.27127001283959296</v>
      </c>
      <c r="J35" s="2">
        <f t="shared" si="15"/>
        <v>0.5072445547126624</v>
      </c>
      <c r="K35" s="2">
        <f t="shared" si="15"/>
        <v>0.70992128315518</v>
      </c>
      <c r="L35" s="2">
        <f t="shared" si="15"/>
        <v>0.8653801885063365</v>
      </c>
      <c r="M35" s="2">
        <f t="shared" si="15"/>
        <v>0.9614192705818844</v>
      </c>
      <c r="N35" s="2">
        <f t="shared" si="15"/>
        <v>0.990520753024145</v>
      </c>
      <c r="O35" s="2">
        <f t="shared" si="15"/>
        <v>0.9511634978027071</v>
      </c>
      <c r="P35" s="2">
        <f t="shared" si="15"/>
        <v>0.8466290393923895</v>
      </c>
      <c r="Q35" s="2">
        <f t="shared" si="15"/>
        <v>0.6841689758300918</v>
      </c>
      <c r="R35" s="2">
        <f t="shared" si="15"/>
        <v>0.4753799571591976</v>
      </c>
      <c r="S35" s="2">
        <f t="shared" si="15"/>
        <v>0.23551559405751593</v>
      </c>
      <c r="T35" s="2">
        <f t="shared" si="15"/>
        <v>-0.018875010340087452</v>
      </c>
      <c r="U35" s="2">
        <f t="shared" si="15"/>
        <v>-0.27148652658186095</v>
      </c>
      <c r="V35" s="2">
        <f t="shared" si="15"/>
        <v>-0.5057949790385945</v>
      </c>
      <c r="W35" s="2">
        <f t="shared" si="15"/>
        <v>-0.7052367244524136</v>
      </c>
      <c r="X35" s="2">
        <f t="shared" si="15"/>
        <v>-0.8565305420107691</v>
      </c>
      <c r="Y35" s="2">
        <f t="shared" si="15"/>
        <v>-0.9534021075343525</v>
      </c>
      <c r="Z35" s="2">
        <f t="shared" si="15"/>
        <v>-0.9931770248000736</v>
      </c>
    </row>
    <row r="36" spans="1:26" ht="15.75">
      <c r="A36" s="48" t="s">
        <v>23</v>
      </c>
      <c r="B36" s="2">
        <f aca="true" t="shared" si="16" ref="B36:Z36">B24*B31-B32*(B26)^2</f>
        <v>-0.01745240643728351</v>
      </c>
      <c r="C36" s="2">
        <f t="shared" si="16"/>
        <v>-0.26959209594391503</v>
      </c>
      <c r="D36" s="2">
        <f t="shared" si="16"/>
        <v>-0.525053676707614</v>
      </c>
      <c r="E36" s="2">
        <f t="shared" si="16"/>
        <v>-0.7270073002575568</v>
      </c>
      <c r="F36" s="2">
        <f t="shared" si="16"/>
        <v>-0.8702658496094341</v>
      </c>
      <c r="G36" s="2">
        <f t="shared" si="16"/>
        <v>-0.9591676237503164</v>
      </c>
      <c r="H36" s="2">
        <f t="shared" si="16"/>
        <v>-0.9872723481196949</v>
      </c>
      <c r="I36" s="2">
        <f t="shared" si="16"/>
        <v>-0.9495187943112882</v>
      </c>
      <c r="J36" s="2">
        <f t="shared" si="16"/>
        <v>-0.8478641201392322</v>
      </c>
      <c r="K36" s="2">
        <f t="shared" si="16"/>
        <v>-0.6885780811611211</v>
      </c>
      <c r="L36" s="2">
        <f t="shared" si="16"/>
        <v>-0.48113546261107853</v>
      </c>
      <c r="M36" s="2">
        <f t="shared" si="16"/>
        <v>-0.23949871385911686</v>
      </c>
      <c r="N36" s="2">
        <f t="shared" si="16"/>
        <v>0.018585473744264662</v>
      </c>
      <c r="O36" s="2">
        <f t="shared" si="16"/>
        <v>0.2746324283692624</v>
      </c>
      <c r="P36" s="2">
        <f t="shared" si="16"/>
        <v>0.5113451248591248</v>
      </c>
      <c r="Q36" s="2">
        <f t="shared" si="16"/>
        <v>0.7126224712395791</v>
      </c>
      <c r="R36" s="2">
        <f t="shared" si="16"/>
        <v>0.8642688537948837</v>
      </c>
      <c r="S36" s="2">
        <f t="shared" si="16"/>
        <v>0.9561107654814688</v>
      </c>
      <c r="T36" s="2">
        <f t="shared" si="16"/>
        <v>0.9830507802958073</v>
      </c>
      <c r="U36" s="2">
        <f t="shared" si="16"/>
        <v>0.9440730496083936</v>
      </c>
      <c r="V36" s="2">
        <f t="shared" si="16"/>
        <v>0.8416537667644214</v>
      </c>
      <c r="W36" s="2">
        <f t="shared" si="16"/>
        <v>0.6832160478908801</v>
      </c>
      <c r="X36" s="2">
        <f t="shared" si="16"/>
        <v>0.4818142012165846</v>
      </c>
      <c r="Y36" s="2">
        <f t="shared" si="16"/>
        <v>0.2516049706278318</v>
      </c>
      <c r="Z36" s="2">
        <f t="shared" si="16"/>
        <v>-0.0004921874950784347</v>
      </c>
    </row>
    <row r="37" spans="1:26" ht="16.5" thickBot="1">
      <c r="A37" s="46" t="s">
        <v>42</v>
      </c>
      <c r="B37" s="13">
        <f>(B31)^2+(B32)^2-($D$5)^2</f>
        <v>0</v>
      </c>
      <c r="C37" s="13">
        <f aca="true" t="shared" si="17" ref="C37:Z37">(C31)^2+(C32)^2-($D$5)^2</f>
        <v>0</v>
      </c>
      <c r="D37" s="13">
        <f t="shared" si="17"/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  <c r="O37" s="13">
        <f t="shared" si="17"/>
        <v>0</v>
      </c>
      <c r="P37" s="13">
        <f t="shared" si="17"/>
        <v>0</v>
      </c>
      <c r="Q37" s="13">
        <f t="shared" si="17"/>
        <v>0</v>
      </c>
      <c r="R37" s="13">
        <f t="shared" si="17"/>
        <v>0</v>
      </c>
      <c r="S37" s="13">
        <f t="shared" si="17"/>
        <v>0</v>
      </c>
      <c r="T37" s="13">
        <f t="shared" si="17"/>
        <v>0</v>
      </c>
      <c r="U37" s="13">
        <f t="shared" si="17"/>
        <v>0</v>
      </c>
      <c r="V37" s="13">
        <f t="shared" si="17"/>
        <v>0</v>
      </c>
      <c r="W37" s="13">
        <f t="shared" si="17"/>
        <v>0</v>
      </c>
      <c r="X37" s="13">
        <f t="shared" si="17"/>
        <v>0</v>
      </c>
      <c r="Y37" s="13">
        <f t="shared" si="17"/>
        <v>0</v>
      </c>
      <c r="Z37" s="13">
        <f t="shared" si="17"/>
        <v>0</v>
      </c>
    </row>
    <row r="38" spans="1:26" ht="15.75">
      <c r="A38" s="49" t="s">
        <v>260</v>
      </c>
      <c r="B38" s="1">
        <f>(B33^2+B34^2)^(1/2)</f>
        <v>1</v>
      </c>
      <c r="C38" s="1">
        <f aca="true" t="shared" si="18" ref="C38:Z38">(C33^2+C34^2)^(1/2)</f>
        <v>1</v>
      </c>
      <c r="D38" s="1">
        <f t="shared" si="18"/>
        <v>1.0016464250479837</v>
      </c>
      <c r="E38" s="1">
        <f t="shared" si="18"/>
        <v>0.9991058287972138</v>
      </c>
      <c r="F38" s="1">
        <f t="shared" si="18"/>
        <v>0.995737080977508</v>
      </c>
      <c r="G38" s="1">
        <f t="shared" si="18"/>
        <v>0.994068533251178</v>
      </c>
      <c r="H38" s="1">
        <f t="shared" si="18"/>
        <v>0.9936899864382543</v>
      </c>
      <c r="I38" s="1">
        <f t="shared" si="18"/>
        <v>0.9937344693611696</v>
      </c>
      <c r="J38" s="1">
        <f t="shared" si="18"/>
        <v>0.9939877555532233</v>
      </c>
      <c r="K38" s="1">
        <f t="shared" si="18"/>
        <v>0.9944853753948188</v>
      </c>
      <c r="L38" s="1">
        <f t="shared" si="18"/>
        <v>0.9950566154501813</v>
      </c>
      <c r="M38" s="1">
        <f t="shared" si="18"/>
        <v>0.9953898694760099</v>
      </c>
      <c r="N38" s="1">
        <f t="shared" si="18"/>
        <v>0.9953362513027337</v>
      </c>
      <c r="O38" s="1">
        <f t="shared" si="18"/>
        <v>0.9949954740549117</v>
      </c>
      <c r="P38" s="1">
        <f t="shared" si="18"/>
        <v>0.9945174393212428</v>
      </c>
      <c r="Q38" s="1">
        <f t="shared" si="18"/>
        <v>0.9939222364184472</v>
      </c>
      <c r="R38" s="1">
        <f t="shared" si="18"/>
        <v>0.9931643108261861</v>
      </c>
      <c r="S38" s="1">
        <f t="shared" si="18"/>
        <v>0.9923137450175811</v>
      </c>
      <c r="T38" s="1">
        <f t="shared" si="18"/>
        <v>0.9915797856211158</v>
      </c>
      <c r="U38" s="1">
        <f t="shared" si="18"/>
        <v>0.9911271810838358</v>
      </c>
      <c r="V38" s="1">
        <f t="shared" si="18"/>
        <v>0.9909297450810695</v>
      </c>
      <c r="W38" s="1">
        <f t="shared" si="18"/>
        <v>0.9909119996540553</v>
      </c>
      <c r="X38" s="1">
        <f t="shared" si="18"/>
        <v>0.9913257041611053</v>
      </c>
      <c r="Y38" s="1">
        <f t="shared" si="18"/>
        <v>0.9929505233392518</v>
      </c>
      <c r="Z38" s="1">
        <f t="shared" si="18"/>
        <v>0.9965110882397863</v>
      </c>
    </row>
    <row r="39" spans="1:26" ht="15.75">
      <c r="A39" s="49" t="s">
        <v>261</v>
      </c>
      <c r="B39" s="1">
        <f>(SQRT(B35^2+B36^2))</f>
        <v>1</v>
      </c>
      <c r="C39" s="1">
        <f aca="true" t="shared" si="19" ref="C39:Z39">(SQRT(C35^2+C36^2))</f>
        <v>1.000019774813045</v>
      </c>
      <c r="D39" s="1">
        <f t="shared" si="19"/>
        <v>1.0033424923733794</v>
      </c>
      <c r="E39" s="1">
        <f t="shared" si="19"/>
        <v>0.998295663695006</v>
      </c>
      <c r="F39" s="1">
        <f t="shared" si="19"/>
        <v>0.9915127818840531</v>
      </c>
      <c r="G39" s="1">
        <f t="shared" si="19"/>
        <v>0.9881732976864567</v>
      </c>
      <c r="H39" s="1">
        <f t="shared" si="19"/>
        <v>0.9874198035937444</v>
      </c>
      <c r="I39" s="1">
        <f t="shared" si="19"/>
        <v>0.9875086635652142</v>
      </c>
      <c r="J39" s="1">
        <f t="shared" si="19"/>
        <v>0.9880134637266446</v>
      </c>
      <c r="K39" s="1">
        <f t="shared" si="19"/>
        <v>0.9890035399998468</v>
      </c>
      <c r="L39" s="1">
        <f t="shared" si="19"/>
        <v>0.9901384772046984</v>
      </c>
      <c r="M39" s="1">
        <f t="shared" si="19"/>
        <v>0.9908010132142446</v>
      </c>
      <c r="N39" s="1">
        <f t="shared" si="19"/>
        <v>0.9906951004248572</v>
      </c>
      <c r="O39" s="1">
        <f t="shared" si="19"/>
        <v>0.9900176615920943</v>
      </c>
      <c r="P39" s="1">
        <f t="shared" si="19"/>
        <v>0.9890675240142475</v>
      </c>
      <c r="Q39" s="1">
        <f t="shared" si="19"/>
        <v>0.9878856077522344</v>
      </c>
      <c r="R39" s="1">
        <f t="shared" si="19"/>
        <v>0.9863806340904117</v>
      </c>
      <c r="S39" s="1">
        <f t="shared" si="19"/>
        <v>0.9846905051404857</v>
      </c>
      <c r="T39" s="1">
        <f t="shared" si="19"/>
        <v>0.9832319678771302</v>
      </c>
      <c r="U39" s="1">
        <f t="shared" si="19"/>
        <v>0.9823333737140237</v>
      </c>
      <c r="V39" s="1">
        <f t="shared" si="19"/>
        <v>0.9819417619845849</v>
      </c>
      <c r="W39" s="1">
        <f t="shared" si="19"/>
        <v>0.9819078396733589</v>
      </c>
      <c r="X39" s="1">
        <f t="shared" si="19"/>
        <v>0.9827458948737651</v>
      </c>
      <c r="Y39" s="1">
        <f t="shared" si="19"/>
        <v>0.986042919905405</v>
      </c>
      <c r="Z39" s="1">
        <f t="shared" si="19"/>
        <v>0.9931771467564366</v>
      </c>
    </row>
    <row r="40" spans="1:26" ht="15.75">
      <c r="A40" s="49" t="s">
        <v>262</v>
      </c>
      <c r="B40" s="1">
        <f>(SQRT(B39^2-B41^2))</f>
        <v>1</v>
      </c>
      <c r="C40" s="1">
        <f aca="true" t="shared" si="20" ref="C40:Z40">(SQRT(C39^2-C41^2))</f>
        <v>1</v>
      </c>
      <c r="D40" s="1">
        <f t="shared" si="20"/>
        <v>1.003295560811406</v>
      </c>
      <c r="E40" s="1">
        <f t="shared" si="20"/>
        <v>0.9982124571365673</v>
      </c>
      <c r="F40" s="1">
        <f t="shared" si="20"/>
        <v>0.9914923344336082</v>
      </c>
      <c r="G40" s="1">
        <f t="shared" si="20"/>
        <v>0.9881722488001483</v>
      </c>
      <c r="H40" s="1">
        <f t="shared" si="20"/>
        <v>0.987419789147658</v>
      </c>
      <c r="I40" s="1">
        <f t="shared" si="20"/>
        <v>0.9875081955965254</v>
      </c>
      <c r="J40" s="1">
        <f t="shared" si="20"/>
        <v>0.9880116581897345</v>
      </c>
      <c r="K40" s="1">
        <f t="shared" si="20"/>
        <v>0.9890011618741738</v>
      </c>
      <c r="L40" s="1">
        <f t="shared" si="20"/>
        <v>0.9901376679511698</v>
      </c>
      <c r="M40" s="1">
        <f t="shared" si="20"/>
        <v>0.9908009922554682</v>
      </c>
      <c r="N40" s="1">
        <f t="shared" si="20"/>
        <v>0.9906942531573787</v>
      </c>
      <c r="O40" s="1">
        <f t="shared" si="20"/>
        <v>0.9900159933897585</v>
      </c>
      <c r="P40" s="1">
        <f t="shared" si="20"/>
        <v>0.9890649371140816</v>
      </c>
      <c r="Q40" s="1">
        <f t="shared" si="20"/>
        <v>0.9878814120470477</v>
      </c>
      <c r="R40" s="1">
        <f t="shared" si="20"/>
        <v>0.986375348298853</v>
      </c>
      <c r="S40" s="1">
        <f t="shared" si="20"/>
        <v>0.9846865685508168</v>
      </c>
      <c r="T40" s="1">
        <f t="shared" si="20"/>
        <v>0.9832304712524179</v>
      </c>
      <c r="U40" s="1">
        <f t="shared" si="20"/>
        <v>0.9823330890831907</v>
      </c>
      <c r="V40" s="1">
        <f t="shared" si="20"/>
        <v>0.9819417596864332</v>
      </c>
      <c r="W40" s="1">
        <f t="shared" si="20"/>
        <v>0.9819065910583984</v>
      </c>
      <c r="X40" s="1">
        <f t="shared" si="20"/>
        <v>0.9827266517305113</v>
      </c>
      <c r="Y40" s="1">
        <f t="shared" si="20"/>
        <v>0.985950741799694</v>
      </c>
      <c r="Z40" s="1">
        <f t="shared" si="20"/>
        <v>0.9930343489848432</v>
      </c>
    </row>
    <row r="41" spans="1:26" ht="15.75">
      <c r="A41" s="49" t="s">
        <v>263</v>
      </c>
      <c r="B41" s="1">
        <f>ABS((B33*B35+B34*B36)/B38)</f>
        <v>0</v>
      </c>
      <c r="C41" s="1">
        <f aca="true" t="shared" si="21" ref="C41:Z41">ABS((C33*C35+C34*C36)/C38)</f>
        <v>0.0062888804356062145</v>
      </c>
      <c r="D41" s="1">
        <f t="shared" si="21"/>
        <v>0.009704362841058922</v>
      </c>
      <c r="E41" s="1">
        <f t="shared" si="21"/>
        <v>0.012888854473125044</v>
      </c>
      <c r="F41" s="1">
        <f t="shared" si="21"/>
        <v>0.006367683946921702</v>
      </c>
      <c r="G41" s="1">
        <f t="shared" si="21"/>
        <v>0.0014397783802426302</v>
      </c>
      <c r="H41" s="1">
        <f t="shared" si="21"/>
        <v>0.0001689044207054388</v>
      </c>
      <c r="I41" s="1">
        <f t="shared" si="21"/>
        <v>0.0009613771631118491</v>
      </c>
      <c r="J41" s="1">
        <f t="shared" si="21"/>
        <v>0.0018888584629196343</v>
      </c>
      <c r="K41" s="1">
        <f t="shared" si="21"/>
        <v>0.0021688577092750586</v>
      </c>
      <c r="L41" s="1">
        <f t="shared" si="21"/>
        <v>0.001265916844818769</v>
      </c>
      <c r="M41" s="1">
        <f t="shared" si="21"/>
        <v>0.00020379389912027172</v>
      </c>
      <c r="N41" s="1">
        <f t="shared" si="21"/>
        <v>0.0012956723202508288</v>
      </c>
      <c r="O41" s="1">
        <f t="shared" si="21"/>
        <v>0.0018174423699096876</v>
      </c>
      <c r="P41" s="1">
        <f t="shared" si="21"/>
        <v>0.0022621297910757</v>
      </c>
      <c r="Q41" s="1">
        <f t="shared" si="21"/>
        <v>0.002879190152231742</v>
      </c>
      <c r="R41" s="1">
        <f t="shared" si="21"/>
        <v>0.003229175888518226</v>
      </c>
      <c r="S41" s="1">
        <f t="shared" si="21"/>
        <v>0.0027843544031659695</v>
      </c>
      <c r="T41" s="1">
        <f t="shared" si="21"/>
        <v>0.001715533818378546</v>
      </c>
      <c r="U41" s="1">
        <f t="shared" si="21"/>
        <v>0.0007477998743344656</v>
      </c>
      <c r="V41" s="1">
        <f t="shared" si="21"/>
        <v>6.718111605004057E-05</v>
      </c>
      <c r="W41" s="1">
        <f t="shared" si="21"/>
        <v>0.0015659016820332198</v>
      </c>
      <c r="X41" s="1">
        <f t="shared" si="21"/>
        <v>0.006149948762021306</v>
      </c>
      <c r="Y41" s="1">
        <f t="shared" si="21"/>
        <v>0.013482382586554088</v>
      </c>
      <c r="Z41" s="1">
        <f t="shared" si="21"/>
        <v>0.016841216568443677</v>
      </c>
    </row>
    <row r="42" spans="1:26" ht="15.75">
      <c r="A42" s="50" t="s">
        <v>264</v>
      </c>
      <c r="B42" s="1">
        <f>B38^2/B40</f>
        <v>1</v>
      </c>
      <c r="C42" s="1">
        <f aca="true" t="shared" si="22" ref="C42:Z42">C38^2/C40</f>
        <v>1</v>
      </c>
      <c r="D42" s="1">
        <f t="shared" si="22"/>
        <v>1</v>
      </c>
      <c r="E42" s="1">
        <f t="shared" si="22"/>
        <v>1.0000000000000002</v>
      </c>
      <c r="F42" s="1">
        <f t="shared" si="22"/>
        <v>1.0000000000000002</v>
      </c>
      <c r="G42" s="1">
        <f t="shared" si="22"/>
        <v>1.0000000000000002</v>
      </c>
      <c r="H42" s="1">
        <f t="shared" si="22"/>
        <v>1.0000000000000002</v>
      </c>
      <c r="I42" s="1">
        <f t="shared" si="22"/>
        <v>1</v>
      </c>
      <c r="J42" s="1">
        <f t="shared" si="22"/>
        <v>0.9999999999999999</v>
      </c>
      <c r="K42" s="1">
        <f t="shared" si="22"/>
        <v>1</v>
      </c>
      <c r="L42" s="1">
        <f t="shared" si="22"/>
        <v>1.0000000000000002</v>
      </c>
      <c r="M42" s="1">
        <f t="shared" si="22"/>
        <v>0.9999999999999999</v>
      </c>
      <c r="N42" s="1">
        <f t="shared" si="22"/>
        <v>1</v>
      </c>
      <c r="O42" s="1">
        <f t="shared" si="22"/>
        <v>1</v>
      </c>
      <c r="P42" s="1">
        <f t="shared" si="22"/>
        <v>1.0000000000000002</v>
      </c>
      <c r="Q42" s="1">
        <f t="shared" si="22"/>
        <v>1</v>
      </c>
      <c r="R42" s="1">
        <f t="shared" si="22"/>
        <v>1.0000000000000002</v>
      </c>
      <c r="S42" s="1">
        <f t="shared" si="22"/>
        <v>1.0000000000000002</v>
      </c>
      <c r="T42" s="1">
        <f t="shared" si="22"/>
        <v>1.0000000000000002</v>
      </c>
      <c r="U42" s="1">
        <f t="shared" si="22"/>
        <v>0.9999999999999999</v>
      </c>
      <c r="V42" s="1">
        <f t="shared" si="22"/>
        <v>1.0000000000000002</v>
      </c>
      <c r="W42" s="1">
        <f t="shared" si="22"/>
        <v>1.0000000000000002</v>
      </c>
      <c r="X42" s="1">
        <f t="shared" si="22"/>
        <v>1</v>
      </c>
      <c r="Y42" s="1">
        <f t="shared" si="22"/>
        <v>1.0000000000000002</v>
      </c>
      <c r="Z42" s="1">
        <f t="shared" si="22"/>
        <v>0.9999999999999999</v>
      </c>
    </row>
    <row r="43" ht="15.75">
      <c r="A43" s="51" t="s">
        <v>14</v>
      </c>
    </row>
    <row r="44" ht="15.75">
      <c r="A44" s="52"/>
    </row>
    <row r="45" ht="16.5" thickBot="1">
      <c r="A45" s="52"/>
    </row>
    <row r="46" spans="1:4" ht="16.5" thickBot="1">
      <c r="A46" s="53" t="s">
        <v>49</v>
      </c>
      <c r="B46" s="17"/>
      <c r="C46" s="17"/>
      <c r="D46" s="20"/>
    </row>
    <row r="47" spans="1:26" ht="15.75">
      <c r="A47" s="54" t="s">
        <v>265</v>
      </c>
      <c r="B47" s="17">
        <f>$B$11-B31</f>
        <v>2.000152304843609</v>
      </c>
      <c r="C47" s="17">
        <f>$B$11-C31</f>
        <v>2.038738304061681</v>
      </c>
      <c r="D47" s="17">
        <f>$B$11-D31</f>
        <v>2.1428326992978874</v>
      </c>
      <c r="E47" s="17">
        <f>$B$11-E31</f>
        <v>2.3053416295410027</v>
      </c>
      <c r="F47" s="17">
        <f>$B$11-F31</f>
        <v>2.5151903797536628</v>
      </c>
      <c r="G47" s="17">
        <f aca="true" t="shared" si="23" ref="G47:Z47">$B$11-G31</f>
        <v>2.758078104400332</v>
      </c>
      <c r="H47" s="17">
        <f t="shared" si="23"/>
        <v>3.0174524064372834</v>
      </c>
      <c r="I47" s="17">
        <f t="shared" si="23"/>
        <v>3.275637355816999</v>
      </c>
      <c r="J47" s="17">
        <f t="shared" si="23"/>
        <v>3.5150380749100547</v>
      </c>
      <c r="K47" s="17">
        <f t="shared" si="23"/>
        <v>3.7193398003386515</v>
      </c>
      <c r="L47" s="17">
        <f t="shared" si="23"/>
        <v>3.874619707139396</v>
      </c>
      <c r="M47" s="17">
        <f t="shared" si="23"/>
        <v>3.970295726275997</v>
      </c>
      <c r="N47" s="17">
        <f t="shared" si="23"/>
        <v>3.999847695156391</v>
      </c>
      <c r="O47" s="17">
        <f t="shared" si="23"/>
        <v>3.961261695938319</v>
      </c>
      <c r="P47" s="17">
        <f t="shared" si="23"/>
        <v>3.8571673007021126</v>
      </c>
      <c r="Q47" s="17">
        <f t="shared" si="23"/>
        <v>3.6946583704589973</v>
      </c>
      <c r="R47" s="17">
        <f t="shared" si="23"/>
        <v>3.484809620246337</v>
      </c>
      <c r="S47" s="17">
        <f t="shared" si="23"/>
        <v>3.241921895599668</v>
      </c>
      <c r="T47" s="17">
        <f t="shared" si="23"/>
        <v>2.9825475935627166</v>
      </c>
      <c r="U47" s="17">
        <f t="shared" si="23"/>
        <v>2.7243626441830004</v>
      </c>
      <c r="V47" s="17">
        <f t="shared" si="23"/>
        <v>2.4849619250899457</v>
      </c>
      <c r="W47" s="17">
        <f t="shared" si="23"/>
        <v>2.280660199661349</v>
      </c>
      <c r="X47" s="17">
        <f t="shared" si="23"/>
        <v>2.125380292860604</v>
      </c>
      <c r="Y47" s="17">
        <f t="shared" si="23"/>
        <v>2.029704273724003</v>
      </c>
      <c r="Z47" s="17">
        <f t="shared" si="23"/>
        <v>2.000152304843609</v>
      </c>
    </row>
    <row r="48" spans="1:26" ht="15.75">
      <c r="A48" s="55" t="s">
        <v>266</v>
      </c>
      <c r="B48" s="21">
        <f>$B$12-B32</f>
        <v>-0.01745240643728351</v>
      </c>
      <c r="C48" s="21">
        <f aca="true" t="shared" si="24" ref="C48:Z48">$B$12-C32</f>
        <v>-0.2756373558169992</v>
      </c>
      <c r="D48" s="21">
        <f t="shared" si="24"/>
        <v>-0.5150380749100542</v>
      </c>
      <c r="E48" s="21">
        <f t="shared" si="24"/>
        <v>-0.7193398003386511</v>
      </c>
      <c r="F48" s="21">
        <f t="shared" si="24"/>
        <v>-0.8746197071393957</v>
      </c>
      <c r="G48" s="21">
        <f t="shared" si="24"/>
        <v>-0.9702957262759966</v>
      </c>
      <c r="H48" s="21">
        <f t="shared" si="24"/>
        <v>-0.9998476951563913</v>
      </c>
      <c r="I48" s="21">
        <f t="shared" si="24"/>
        <v>-0.9612616959383189</v>
      </c>
      <c r="J48" s="21">
        <f t="shared" si="24"/>
        <v>-0.8571673007021121</v>
      </c>
      <c r="K48" s="21">
        <f t="shared" si="24"/>
        <v>-0.694658370458997</v>
      </c>
      <c r="L48" s="21">
        <f t="shared" si="24"/>
        <v>-0.484809620246337</v>
      </c>
      <c r="M48" s="21">
        <f t="shared" si="24"/>
        <v>-0.24192189559966756</v>
      </c>
      <c r="N48" s="21">
        <f t="shared" si="24"/>
        <v>0.017452406437283834</v>
      </c>
      <c r="O48" s="21">
        <f t="shared" si="24"/>
        <v>0.2756373558169992</v>
      </c>
      <c r="P48" s="21">
        <f t="shared" si="24"/>
        <v>0.5150380749100544</v>
      </c>
      <c r="Q48" s="21">
        <f t="shared" si="24"/>
        <v>0.7193398003386513</v>
      </c>
      <c r="R48" s="21">
        <f t="shared" si="24"/>
        <v>0.874619707139396</v>
      </c>
      <c r="S48" s="21">
        <f t="shared" si="24"/>
        <v>0.9702957262759966</v>
      </c>
      <c r="T48" s="21">
        <f t="shared" si="24"/>
        <v>0.9998476951563913</v>
      </c>
      <c r="U48" s="21">
        <f t="shared" si="24"/>
        <v>0.9612616959383188</v>
      </c>
      <c r="V48" s="21">
        <f t="shared" si="24"/>
        <v>0.8571673007021123</v>
      </c>
      <c r="W48" s="21">
        <f t="shared" si="24"/>
        <v>0.6946583704589975</v>
      </c>
      <c r="X48" s="21">
        <f t="shared" si="24"/>
        <v>0.4848096202463367</v>
      </c>
      <c r="Y48" s="21">
        <f t="shared" si="24"/>
        <v>0.24192189559966767</v>
      </c>
      <c r="Z48" s="21">
        <f t="shared" si="24"/>
        <v>-0.017452406437283265</v>
      </c>
    </row>
    <row r="49" spans="1:26" ht="15.75">
      <c r="A49" s="55" t="s">
        <v>267</v>
      </c>
      <c r="B49" s="2">
        <f>((B47)^2+(B48)^2+($D$6)^2-($D$7)^2)/(2*$D$6)</f>
        <v>-0.49984769515639105</v>
      </c>
      <c r="C49" s="2">
        <f>((C47)^2+(C48)^2+($D$6)^2-($D$7)^2)/(2*$D$6)</f>
        <v>-0.4612616959383189</v>
      </c>
      <c r="D49" s="2">
        <f>((D47)^2+(D48)^2+($D$6)^2-($D$7)^2)/(2*$D$6)</f>
        <v>-0.35716730070211256</v>
      </c>
      <c r="E49" s="2">
        <f>((E47)^2+(E48)^2+($D$6)^2-($D$7)^2)/(2*$D$6)</f>
        <v>-0.19465837045899725</v>
      </c>
      <c r="F49" s="2">
        <f>((F47)^2+(F48)^2+($D$6)^2-($D$7)^2)/(2*$D$6)</f>
        <v>0.015190379753663072</v>
      </c>
      <c r="G49" s="2">
        <f aca="true" t="shared" si="25" ref="G49:Z49">((G47)^2+(G48)^2+($D$6)^2-($D$7)^2)/(2*$D$6)</f>
        <v>0.2580781044003319</v>
      </c>
      <c r="H49" s="2">
        <f t="shared" si="25"/>
        <v>0.5174524064372837</v>
      </c>
      <c r="I49" s="2">
        <f t="shared" si="25"/>
        <v>0.7756373558169992</v>
      </c>
      <c r="J49" s="2">
        <f t="shared" si="25"/>
        <v>1.0150380749100545</v>
      </c>
      <c r="K49" s="2">
        <f t="shared" si="25"/>
        <v>1.219339800338652</v>
      </c>
      <c r="L49" s="2">
        <f t="shared" si="25"/>
        <v>1.3746197071393962</v>
      </c>
      <c r="M49" s="2">
        <f t="shared" si="25"/>
        <v>1.470295726275997</v>
      </c>
      <c r="N49" s="2">
        <f t="shared" si="25"/>
        <v>1.4998476951563913</v>
      </c>
      <c r="O49" s="2">
        <f t="shared" si="25"/>
        <v>1.461261695938319</v>
      </c>
      <c r="P49" s="2">
        <f t="shared" si="25"/>
        <v>1.3571673007021126</v>
      </c>
      <c r="Q49" s="2">
        <f t="shared" si="25"/>
        <v>1.1946583704589973</v>
      </c>
      <c r="R49" s="2">
        <f t="shared" si="25"/>
        <v>0.9848096202463369</v>
      </c>
      <c r="S49" s="2">
        <f t="shared" si="25"/>
        <v>0.7419218955996681</v>
      </c>
      <c r="T49" s="2">
        <f t="shared" si="25"/>
        <v>0.4825475935627163</v>
      </c>
      <c r="U49" s="2">
        <f t="shared" si="25"/>
        <v>0.22436264418300075</v>
      </c>
      <c r="V49" s="2">
        <f t="shared" si="25"/>
        <v>-0.015038074910054414</v>
      </c>
      <c r="W49" s="2">
        <f t="shared" si="25"/>
        <v>-0.21933980033865108</v>
      </c>
      <c r="X49" s="2">
        <f t="shared" si="25"/>
        <v>-0.37461970713939596</v>
      </c>
      <c r="Y49" s="2">
        <f t="shared" si="25"/>
        <v>-0.4702957262759968</v>
      </c>
      <c r="Z49" s="2">
        <f t="shared" si="25"/>
        <v>-0.49984769515639105</v>
      </c>
    </row>
    <row r="50" spans="1:26" ht="15.75">
      <c r="A50" s="55" t="s">
        <v>268</v>
      </c>
      <c r="B50" s="2">
        <f>(B47)^2+(B48)^2-(B49)^2</f>
        <v>3.7510661107084973</v>
      </c>
      <c r="C50" s="2">
        <f>(C47)^2+(C48)^2-(C49)^2</f>
        <v>4.019667472230193</v>
      </c>
      <c r="D50" s="2">
        <f>(D47)^2+(D48)^2-(D49)^2</f>
        <v>4.729427715096492</v>
      </c>
      <c r="E50" s="2">
        <f>(E47)^2+(E48)^2-(E49)^2</f>
        <v>5.794157896056264</v>
      </c>
      <c r="F50" s="2">
        <f>(F47)^2+(F48)^2-(F49)^2</f>
        <v>7.090911530884916</v>
      </c>
      <c r="G50" s="2">
        <f aca="true" t="shared" si="26" ref="G50:Z50">(G47)^2+(G48)^2-(G49)^2</f>
        <v>8.481864318431125</v>
      </c>
      <c r="H50" s="2">
        <f t="shared" si="26"/>
        <v>9.836957445695965</v>
      </c>
      <c r="I50" s="2">
        <f t="shared" si="26"/>
        <v>11.052210827163208</v>
      </c>
      <c r="J50" s="2">
        <f t="shared" si="26"/>
        <v>12.059926155943218</v>
      </c>
      <c r="K50" s="2">
        <f t="shared" si="26"/>
        <v>12.829249253342006</v>
      </c>
      <c r="L50" s="2">
        <f t="shared" si="26"/>
        <v>13.358138903580377</v>
      </c>
      <c r="M50" s="2">
        <f t="shared" si="26"/>
        <v>13.66000483495052</v>
      </c>
      <c r="N50" s="2">
        <f t="shared" si="26"/>
        <v>13.749543062272407</v>
      </c>
      <c r="O50" s="2">
        <f t="shared" si="26"/>
        <v>13.632284431613382</v>
      </c>
      <c r="P50" s="2">
        <f t="shared" si="26"/>
        <v>13.301100722117617</v>
      </c>
      <c r="Q50" s="2">
        <f t="shared" si="26"/>
        <v>12.740741600646237</v>
      </c>
      <c r="R50" s="2">
        <f t="shared" si="26"/>
        <v>11.939007733348287</v>
      </c>
      <c r="S50" s="2">
        <f t="shared" si="26"/>
        <v>10.901083274427801</v>
      </c>
      <c r="T50" s="2">
        <f t="shared" si="26"/>
        <v>9.662433381323131</v>
      </c>
      <c r="U50" s="2">
        <f t="shared" si="26"/>
        <v>8.295837268993214</v>
      </c>
      <c r="V50" s="2">
        <f t="shared" si="26"/>
        <v>6.909545406842674</v>
      </c>
      <c r="W50" s="2">
        <f t="shared" si="26"/>
        <v>5.635851249955494</v>
      </c>
      <c r="X50" s="2">
        <f t="shared" si="26"/>
        <v>4.611941832186417</v>
      </c>
      <c r="Y50" s="2">
        <f t="shared" si="26"/>
        <v>3.957047572190552</v>
      </c>
      <c r="Z50" s="2">
        <f t="shared" si="26"/>
        <v>3.7510661107084973</v>
      </c>
    </row>
    <row r="51" spans="1:26" ht="15.75">
      <c r="A51" s="55" t="s">
        <v>269</v>
      </c>
      <c r="B51" s="2">
        <f>(B48+(B50)^(1/2))/(B47+B49)</f>
        <v>1.2792832224291908</v>
      </c>
      <c r="C51" s="2">
        <f aca="true" t="shared" si="27" ref="C51:Z51">(C48+(C50)^(1/2))/(C47+C49)</f>
        <v>1.0962276551364634</v>
      </c>
      <c r="D51" s="2">
        <f t="shared" si="27"/>
        <v>0.9294499804212453</v>
      </c>
      <c r="E51" s="2">
        <f t="shared" si="27"/>
        <v>0.799630120608495</v>
      </c>
      <c r="F51" s="2">
        <f t="shared" si="27"/>
        <v>0.7067145282717194</v>
      </c>
      <c r="G51" s="2">
        <f t="shared" si="27"/>
        <v>0.6438885064926935</v>
      </c>
      <c r="H51" s="2">
        <f t="shared" si="27"/>
        <v>0.6044136527797294</v>
      </c>
      <c r="I51" s="2">
        <f t="shared" si="27"/>
        <v>0.5833287108826488</v>
      </c>
      <c r="J51" s="2">
        <f t="shared" si="27"/>
        <v>0.577379507913504</v>
      </c>
      <c r="K51" s="2">
        <f t="shared" si="27"/>
        <v>0.5845966942315525</v>
      </c>
      <c r="L51" s="2">
        <f t="shared" si="27"/>
        <v>0.6039101878454917</v>
      </c>
      <c r="M51" s="2">
        <f t="shared" si="27"/>
        <v>0.6348615791366105</v>
      </c>
      <c r="N51" s="2">
        <f t="shared" si="27"/>
        <v>0.6773993415280272</v>
      </c>
      <c r="O51" s="2">
        <f t="shared" si="27"/>
        <v>0.7317312310528207</v>
      </c>
      <c r="P51" s="2">
        <f t="shared" si="27"/>
        <v>0.7982045279122646</v>
      </c>
      <c r="Q51" s="2">
        <f t="shared" si="27"/>
        <v>0.8771690547390412</v>
      </c>
      <c r="R51" s="2">
        <f t="shared" si="27"/>
        <v>0.9687417202805904</v>
      </c>
      <c r="S51" s="2">
        <f t="shared" si="27"/>
        <v>1.0723248217369201</v>
      </c>
      <c r="T51" s="2">
        <f t="shared" si="27"/>
        <v>1.1856220294203614</v>
      </c>
      <c r="U51" s="2">
        <f t="shared" si="27"/>
        <v>1.3027701244849708</v>
      </c>
      <c r="V51" s="2">
        <f t="shared" si="27"/>
        <v>1.4112859054142268</v>
      </c>
      <c r="W51" s="2">
        <f t="shared" si="27"/>
        <v>1.4886832530891576</v>
      </c>
      <c r="X51" s="2">
        <f t="shared" si="27"/>
        <v>1.5035481436876084</v>
      </c>
      <c r="Y51" s="2">
        <f t="shared" si="27"/>
        <v>1.4307698965383455</v>
      </c>
      <c r="Z51" s="2">
        <f t="shared" si="27"/>
        <v>1.279283222429191</v>
      </c>
    </row>
    <row r="52" spans="1:26" ht="15.75">
      <c r="A52" s="55" t="s">
        <v>270</v>
      </c>
      <c r="B52" s="2">
        <f aca="true" t="shared" si="28" ref="B52:Z52">2*ATAN(B51)</f>
        <v>1.8146431365739295</v>
      </c>
      <c r="C52" s="2">
        <f t="shared" si="28"/>
        <v>1.6625422278279998</v>
      </c>
      <c r="D52" s="2">
        <f t="shared" si="28"/>
        <v>1.4976992224357806</v>
      </c>
      <c r="E52" s="2">
        <f t="shared" si="28"/>
        <v>1.3490307306248714</v>
      </c>
      <c r="F52" s="2">
        <f t="shared" si="28"/>
        <v>1.230436316739837</v>
      </c>
      <c r="G52" s="2">
        <f t="shared" si="28"/>
        <v>1.144133822091828</v>
      </c>
      <c r="H52" s="2">
        <f t="shared" si="28"/>
        <v>1.087317029678617</v>
      </c>
      <c r="I52" s="2">
        <f t="shared" si="28"/>
        <v>1.0561419990885978</v>
      </c>
      <c r="J52" s="2">
        <f t="shared" si="28"/>
        <v>1.0472414087271393</v>
      </c>
      <c r="K52" s="2">
        <f t="shared" si="28"/>
        <v>1.0580330827432611</v>
      </c>
      <c r="L52" s="2">
        <f t="shared" si="28"/>
        <v>1.0865793584013812</v>
      </c>
      <c r="M52" s="2">
        <f t="shared" si="28"/>
        <v>1.1313187575061072</v>
      </c>
      <c r="N52" s="2">
        <f t="shared" si="28"/>
        <v>1.190792314480582</v>
      </c>
      <c r="O52" s="2">
        <f t="shared" si="28"/>
        <v>1.2634124185746172</v>
      </c>
      <c r="P52" s="2">
        <f t="shared" si="28"/>
        <v>1.347290365796665</v>
      </c>
      <c r="Q52" s="2">
        <f t="shared" si="28"/>
        <v>1.4401143421228957</v>
      </c>
      <c r="R52" s="2">
        <f t="shared" si="28"/>
        <v>1.5390444182745333</v>
      </c>
      <c r="S52" s="2">
        <f t="shared" si="28"/>
        <v>1.6405686691853598</v>
      </c>
      <c r="T52" s="2">
        <f t="shared" si="28"/>
        <v>1.7402470904074403</v>
      </c>
      <c r="U52" s="2">
        <f t="shared" si="28"/>
        <v>1.8322582189813492</v>
      </c>
      <c r="V52" s="2">
        <f t="shared" si="28"/>
        <v>1.9086787681820692</v>
      </c>
      <c r="W52" s="2">
        <f t="shared" si="28"/>
        <v>1.9585867575961917</v>
      </c>
      <c r="X52" s="2">
        <f t="shared" si="28"/>
        <v>1.967767348850021</v>
      </c>
      <c r="Y52" s="2">
        <f t="shared" si="28"/>
        <v>1.921585204866926</v>
      </c>
      <c r="Z52" s="2">
        <f t="shared" si="28"/>
        <v>1.8146431365739297</v>
      </c>
    </row>
    <row r="53" spans="1:26" ht="15.75">
      <c r="A53" s="55" t="s">
        <v>271</v>
      </c>
      <c r="B53" s="2">
        <f>ACOS((-B47+$D$6*COS(B52))/$D$7)</f>
        <v>2.320082291151921</v>
      </c>
      <c r="C53" s="2">
        <f aca="true" t="shared" si="29" ref="C53:Z53">ACOS((-C47+$D$6*COS(C52))/$D$7)</f>
        <v>2.18755922162771</v>
      </c>
      <c r="D53" s="2">
        <f t="shared" si="29"/>
        <v>2.072516194771425</v>
      </c>
      <c r="E53" s="2">
        <f t="shared" si="29"/>
        <v>1.9947542275516503</v>
      </c>
      <c r="F53" s="2">
        <f t="shared" si="29"/>
        <v>1.9588934514033935</v>
      </c>
      <c r="G53" s="2">
        <f t="shared" si="29"/>
        <v>1.9596667457377792</v>
      </c>
      <c r="H53" s="2">
        <f t="shared" si="29"/>
        <v>1.9885586453796154</v>
      </c>
      <c r="I53" s="2">
        <f t="shared" si="29"/>
        <v>2.0372636588892568</v>
      </c>
      <c r="J53" s="2">
        <f t="shared" si="29"/>
        <v>2.098774665201539</v>
      </c>
      <c r="K53" s="2">
        <f t="shared" si="29"/>
        <v>2.1674708362069293</v>
      </c>
      <c r="L53" s="2">
        <f t="shared" si="29"/>
        <v>2.2389252504147255</v>
      </c>
      <c r="M53" s="2">
        <f t="shared" si="29"/>
        <v>2.3096945552510344</v>
      </c>
      <c r="N53" s="2">
        <f t="shared" si="29"/>
        <v>2.377150792876757</v>
      </c>
      <c r="O53" s="2">
        <f t="shared" si="29"/>
        <v>2.439342667149064</v>
      </c>
      <c r="P53" s="2">
        <f t="shared" si="29"/>
        <v>2.4948560601096674</v>
      </c>
      <c r="Q53" s="2">
        <f t="shared" si="29"/>
        <v>2.5426493963028083</v>
      </c>
      <c r="R53" s="2">
        <f t="shared" si="29"/>
        <v>2.5818513053936587</v>
      </c>
      <c r="S53" s="2">
        <f t="shared" si="29"/>
        <v>2.611513954814499</v>
      </c>
      <c r="T53" s="2">
        <f t="shared" si="29"/>
        <v>2.6303100494805483</v>
      </c>
      <c r="U53" s="2">
        <f t="shared" si="29"/>
        <v>2.636150428411568</v>
      </c>
      <c r="V53" s="2">
        <f t="shared" si="29"/>
        <v>2.6257106919614337</v>
      </c>
      <c r="W53" s="2">
        <f t="shared" si="29"/>
        <v>2.593985765149272</v>
      </c>
      <c r="X53" s="2">
        <f t="shared" si="29"/>
        <v>2.5345087868685163</v>
      </c>
      <c r="Y53" s="2">
        <f t="shared" si="29"/>
        <v>2.442078568322373</v>
      </c>
      <c r="Z53" s="2">
        <f t="shared" si="29"/>
        <v>2.3200822911519214</v>
      </c>
    </row>
    <row r="54" spans="1:26" ht="14.25" customHeight="1">
      <c r="A54" s="56" t="s">
        <v>272</v>
      </c>
      <c r="B54" s="2">
        <f>$D$6*COS(B52)-$D$7*COS(B53)-B47</f>
        <v>0</v>
      </c>
      <c r="C54" s="2">
        <f aca="true" t="shared" si="30" ref="C54:Z54">$D$6*COS(C52)-$D$7*COS(C53)-C47</f>
        <v>0</v>
      </c>
      <c r="D54" s="2">
        <f t="shared" si="30"/>
        <v>0</v>
      </c>
      <c r="E54" s="2">
        <f t="shared" si="30"/>
        <v>0</v>
      </c>
      <c r="F54" s="2">
        <f t="shared" si="30"/>
        <v>0</v>
      </c>
      <c r="G54" s="2">
        <f t="shared" si="30"/>
        <v>0</v>
      </c>
      <c r="H54" s="2">
        <f t="shared" si="30"/>
        <v>0</v>
      </c>
      <c r="I54" s="2">
        <f t="shared" si="30"/>
        <v>0</v>
      </c>
      <c r="J54" s="2">
        <f t="shared" si="30"/>
        <v>0</v>
      </c>
      <c r="K54" s="2">
        <f t="shared" si="30"/>
        <v>0</v>
      </c>
      <c r="L54" s="2">
        <f t="shared" si="30"/>
        <v>0</v>
      </c>
      <c r="M54" s="2">
        <f t="shared" si="30"/>
        <v>0</v>
      </c>
      <c r="N54" s="2">
        <f t="shared" si="30"/>
        <v>0</v>
      </c>
      <c r="O54" s="2">
        <f t="shared" si="30"/>
        <v>0</v>
      </c>
      <c r="P54" s="2">
        <f t="shared" si="30"/>
        <v>0</v>
      </c>
      <c r="Q54" s="2">
        <f t="shared" si="30"/>
        <v>0</v>
      </c>
      <c r="R54" s="2">
        <f t="shared" si="30"/>
        <v>0</v>
      </c>
      <c r="S54" s="2">
        <f t="shared" si="30"/>
        <v>0</v>
      </c>
      <c r="T54" s="2">
        <f t="shared" si="30"/>
        <v>0</v>
      </c>
      <c r="U54" s="2">
        <f t="shared" si="30"/>
        <v>0</v>
      </c>
      <c r="V54" s="2">
        <f t="shared" si="30"/>
        <v>0</v>
      </c>
      <c r="W54" s="2">
        <f t="shared" si="30"/>
        <v>0</v>
      </c>
      <c r="X54" s="2">
        <f t="shared" si="30"/>
        <v>0</v>
      </c>
      <c r="Y54" s="2">
        <f t="shared" si="30"/>
        <v>0</v>
      </c>
      <c r="Z54" s="2">
        <f t="shared" si="30"/>
        <v>0</v>
      </c>
    </row>
    <row r="55" spans="1:26" ht="15.75">
      <c r="A55" s="56" t="s">
        <v>41</v>
      </c>
      <c r="B55" s="2">
        <f>$D$6*SIN(B52)-$D$7*SIN(B53)-B48</f>
        <v>-3.400058012914542E-16</v>
      </c>
      <c r="C55" s="2">
        <f aca="true" t="shared" si="31" ref="C55:Z55">$D$6*SIN(C52)-$D$7*SIN(C53)-C48</f>
        <v>-7.771561172376096E-16</v>
      </c>
      <c r="D55" s="2">
        <f t="shared" si="31"/>
        <v>-9.992007221626409E-16</v>
      </c>
      <c r="E55" s="2">
        <f t="shared" si="31"/>
        <v>0</v>
      </c>
      <c r="F55" s="2">
        <f t="shared" si="31"/>
        <v>0</v>
      </c>
      <c r="G55" s="2">
        <f t="shared" si="31"/>
        <v>0</v>
      </c>
      <c r="H55" s="2">
        <f t="shared" si="31"/>
        <v>0</v>
      </c>
      <c r="I55" s="2">
        <f t="shared" si="31"/>
        <v>0</v>
      </c>
      <c r="J55" s="2">
        <f t="shared" si="31"/>
        <v>0</v>
      </c>
      <c r="K55" s="2">
        <f t="shared" si="31"/>
        <v>-1.1102230246251565E-15</v>
      </c>
      <c r="L55" s="2">
        <f t="shared" si="31"/>
        <v>0</v>
      </c>
      <c r="M55" s="2">
        <f t="shared" si="31"/>
        <v>-2.498001805406602E-16</v>
      </c>
      <c r="N55" s="2">
        <f t="shared" si="31"/>
        <v>0</v>
      </c>
      <c r="O55" s="2">
        <f t="shared" si="31"/>
        <v>-1.4432899320127035E-15</v>
      </c>
      <c r="P55" s="2">
        <f t="shared" si="31"/>
        <v>1.2212453270876722E-15</v>
      </c>
      <c r="Q55" s="2">
        <f t="shared" si="31"/>
        <v>-1.5543122344752192E-15</v>
      </c>
      <c r="R55" s="2">
        <f t="shared" si="31"/>
        <v>8.881784197001252E-16</v>
      </c>
      <c r="S55" s="2">
        <f t="shared" si="31"/>
        <v>-1.1102230246251565E-15</v>
      </c>
      <c r="T55" s="2">
        <f t="shared" si="31"/>
        <v>1.1102230246251565E-15</v>
      </c>
      <c r="U55" s="2">
        <f t="shared" si="31"/>
        <v>-1.887379141862766E-15</v>
      </c>
      <c r="V55" s="2">
        <f t="shared" si="31"/>
        <v>0</v>
      </c>
      <c r="W55" s="2">
        <f t="shared" si="31"/>
        <v>0</v>
      </c>
      <c r="X55" s="2">
        <f t="shared" si="31"/>
        <v>-1.27675647831893E-15</v>
      </c>
      <c r="Y55" s="2">
        <f t="shared" si="31"/>
        <v>0</v>
      </c>
      <c r="Z55" s="2">
        <f t="shared" si="31"/>
        <v>3.0184188481996443E-16</v>
      </c>
    </row>
    <row r="56" spans="1:26" ht="15.75">
      <c r="A56" s="55" t="s">
        <v>273</v>
      </c>
      <c r="B56" s="2">
        <f>ASIN((-B48+$D$6*SIN(B52))/$D$7)</f>
        <v>0.821510362437872</v>
      </c>
      <c r="C56" s="2">
        <f aca="true" t="shared" si="32" ref="C56:Z56">ASIN((-C48+$D$6*SIN(C52))/$D$7)</f>
        <v>0.9540334319620826</v>
      </c>
      <c r="D56" s="2">
        <f t="shared" si="32"/>
        <v>1.0690764588183679</v>
      </c>
      <c r="E56" s="2">
        <f t="shared" si="32"/>
        <v>1.1468384260381426</v>
      </c>
      <c r="F56" s="2">
        <f t="shared" si="32"/>
        <v>1.1826992021863998</v>
      </c>
      <c r="G56" s="2">
        <f t="shared" si="32"/>
        <v>1.1819259078520141</v>
      </c>
      <c r="H56" s="2">
        <f t="shared" si="32"/>
        <v>1.153034008210178</v>
      </c>
      <c r="I56" s="2">
        <f t="shared" si="32"/>
        <v>1.1043289947005364</v>
      </c>
      <c r="J56" s="2">
        <f t="shared" si="32"/>
        <v>1.0428179883882542</v>
      </c>
      <c r="K56" s="2">
        <f t="shared" si="32"/>
        <v>0.9741218173828635</v>
      </c>
      <c r="L56" s="2">
        <f t="shared" si="32"/>
        <v>0.902667403175068</v>
      </c>
      <c r="M56" s="2">
        <f t="shared" si="32"/>
        <v>0.8318980983387587</v>
      </c>
      <c r="N56" s="2">
        <f t="shared" si="32"/>
        <v>0.7644418607130363</v>
      </c>
      <c r="O56" s="2">
        <f t="shared" si="32"/>
        <v>0.7022499864407289</v>
      </c>
      <c r="P56" s="2">
        <f t="shared" si="32"/>
        <v>0.6467365934801261</v>
      </c>
      <c r="Q56" s="2">
        <f t="shared" si="32"/>
        <v>0.5989432572869845</v>
      </c>
      <c r="R56" s="2">
        <f t="shared" si="32"/>
        <v>0.5597413481961347</v>
      </c>
      <c r="S56" s="2">
        <f t="shared" si="32"/>
        <v>0.5300786987752939</v>
      </c>
      <c r="T56" s="2">
        <f t="shared" si="32"/>
        <v>0.5112826041092453</v>
      </c>
      <c r="U56" s="2">
        <f t="shared" si="32"/>
        <v>0.5054422251782245</v>
      </c>
      <c r="V56" s="2">
        <f t="shared" si="32"/>
        <v>0.5158819616283596</v>
      </c>
      <c r="W56" s="2">
        <f t="shared" si="32"/>
        <v>0.5476068884405214</v>
      </c>
      <c r="X56" s="2">
        <f t="shared" si="32"/>
        <v>0.6070838667212763</v>
      </c>
      <c r="Y56" s="2">
        <f t="shared" si="32"/>
        <v>0.6995140852674202</v>
      </c>
      <c r="Z56" s="2">
        <f t="shared" si="32"/>
        <v>0.821510362437872</v>
      </c>
    </row>
    <row r="57" spans="1:26" ht="15.75">
      <c r="A57" s="55" t="s">
        <v>272</v>
      </c>
      <c r="B57" s="2">
        <f>$D$6*COS(B52)-$D$7*COS(B56)-B47</f>
        <v>-5.448929074960706</v>
      </c>
      <c r="C57" s="2">
        <f aca="true" t="shared" si="33" ref="C57:Z57">$D$6*COS(C52)-$D$7*COS(C56)-C47</f>
        <v>-4.627180085548893</v>
      </c>
      <c r="D57" s="2">
        <f t="shared" si="33"/>
        <v>-3.8474732395828504</v>
      </c>
      <c r="E57" s="2">
        <f t="shared" si="33"/>
        <v>-3.290969322055439</v>
      </c>
      <c r="F57" s="2">
        <f t="shared" si="33"/>
        <v>-3.0274219294191838</v>
      </c>
      <c r="G57" s="2">
        <f t="shared" si="33"/>
        <v>-3.0331473043235984</v>
      </c>
      <c r="H57" s="2">
        <f t="shared" si="33"/>
        <v>-3.245729853920981</v>
      </c>
      <c r="I57" s="2">
        <f t="shared" si="33"/>
        <v>-3.5978708104284314</v>
      </c>
      <c r="J57" s="2">
        <f t="shared" si="33"/>
        <v>-4.0303040431188375</v>
      </c>
      <c r="K57" s="2">
        <f t="shared" si="33"/>
        <v>-4.495157683828511</v>
      </c>
      <c r="L57" s="2">
        <f t="shared" si="33"/>
        <v>-4.956146485392555</v>
      </c>
      <c r="M57" s="2">
        <f t="shared" si="33"/>
        <v>-5.387791031116182</v>
      </c>
      <c r="N57" s="2">
        <f t="shared" si="33"/>
        <v>-5.774150217286336</v>
      </c>
      <c r="O57" s="2">
        <f t="shared" si="33"/>
        <v>-6.107126171709397</v>
      </c>
      <c r="P57" s="2">
        <f t="shared" si="33"/>
        <v>-6.384436201872839</v>
      </c>
      <c r="Q57" s="2">
        <f t="shared" si="33"/>
        <v>-6.6074546863169346</v>
      </c>
      <c r="R57" s="2">
        <f t="shared" si="33"/>
        <v>-6.779139799513291</v>
      </c>
      <c r="S57" s="2">
        <f t="shared" si="33"/>
        <v>-6.902138263904659</v>
      </c>
      <c r="T57" s="2">
        <f t="shared" si="33"/>
        <v>-6.9769412144822995</v>
      </c>
      <c r="U57" s="2">
        <f t="shared" si="33"/>
        <v>-6.999683496205859</v>
      </c>
      <c r="V57" s="2">
        <f t="shared" si="33"/>
        <v>-6.958863896284637</v>
      </c>
      <c r="W57" s="2">
        <f t="shared" si="33"/>
        <v>-6.830183428156721</v>
      </c>
      <c r="X57" s="2">
        <f t="shared" si="33"/>
        <v>-6.5705207061592175</v>
      </c>
      <c r="Y57" s="2">
        <f t="shared" si="33"/>
        <v>-6.121241054741988</v>
      </c>
      <c r="Z57" s="2">
        <f t="shared" si="33"/>
        <v>-5.448929074960706</v>
      </c>
    </row>
    <row r="58" spans="1:26" ht="15.75">
      <c r="A58" s="55" t="s">
        <v>41</v>
      </c>
      <c r="B58" s="2">
        <f>$D$6*SIN(B52)-$D$7*SIN(B56)-B48</f>
        <v>1.0408340855860843E-16</v>
      </c>
      <c r="C58" s="2">
        <f aca="true" t="shared" si="34" ref="C58:Z58">$D$6*SIN(C52)-$D$7*SIN(C56)-C48</f>
        <v>0</v>
      </c>
      <c r="D58" s="2">
        <f t="shared" si="34"/>
        <v>0</v>
      </c>
      <c r="E58" s="2">
        <f t="shared" si="34"/>
        <v>0</v>
      </c>
      <c r="F58" s="2">
        <f t="shared" si="34"/>
        <v>0</v>
      </c>
      <c r="G58" s="2">
        <f t="shared" si="34"/>
        <v>0</v>
      </c>
      <c r="H58" s="2">
        <f t="shared" si="34"/>
        <v>0</v>
      </c>
      <c r="I58" s="2">
        <f t="shared" si="34"/>
        <v>0</v>
      </c>
      <c r="J58" s="2">
        <f t="shared" si="34"/>
        <v>0</v>
      </c>
      <c r="K58" s="2">
        <f t="shared" si="34"/>
        <v>0</v>
      </c>
      <c r="L58" s="2">
        <f t="shared" si="34"/>
        <v>0</v>
      </c>
      <c r="M58" s="2">
        <f t="shared" si="34"/>
        <v>0</v>
      </c>
      <c r="N58" s="2">
        <f t="shared" si="34"/>
        <v>0</v>
      </c>
      <c r="O58" s="2">
        <f t="shared" si="34"/>
        <v>0</v>
      </c>
      <c r="P58" s="2">
        <f t="shared" si="34"/>
        <v>0</v>
      </c>
      <c r="Q58" s="2">
        <f t="shared" si="34"/>
        <v>0</v>
      </c>
      <c r="R58" s="2">
        <f t="shared" si="34"/>
        <v>0</v>
      </c>
      <c r="S58" s="2">
        <f t="shared" si="34"/>
        <v>0</v>
      </c>
      <c r="T58" s="2">
        <f t="shared" si="34"/>
        <v>0</v>
      </c>
      <c r="U58" s="2">
        <f t="shared" si="34"/>
        <v>0</v>
      </c>
      <c r="V58" s="2">
        <f t="shared" si="34"/>
        <v>0</v>
      </c>
      <c r="W58" s="2">
        <f t="shared" si="34"/>
        <v>0</v>
      </c>
      <c r="X58" s="2">
        <f t="shared" si="34"/>
        <v>4.996003610813204E-16</v>
      </c>
      <c r="Y58" s="2">
        <f t="shared" si="34"/>
        <v>0</v>
      </c>
      <c r="Z58" s="2">
        <f t="shared" si="34"/>
        <v>-1.4224732503009818E-16</v>
      </c>
    </row>
    <row r="59" spans="1:26" ht="15.75">
      <c r="A59" s="55" t="s">
        <v>274</v>
      </c>
      <c r="B59" s="2">
        <f>(B48-(B50)^(1/2))/(B47+B49)</f>
        <v>-1.3025483731520455</v>
      </c>
      <c r="C59" s="2">
        <f aca="true" t="shared" si="35" ref="C59:Z59">(C48-(C50)^(1/2))/(C47+C49)</f>
        <v>-1.4456938271197168</v>
      </c>
      <c r="D59" s="2">
        <f t="shared" si="35"/>
        <v>-1.5063084168506835</v>
      </c>
      <c r="E59" s="2">
        <f t="shared" si="35"/>
        <v>-1.4812480727511694</v>
      </c>
      <c r="F59" s="2">
        <f t="shared" si="35"/>
        <v>-1.3980094678599317</v>
      </c>
      <c r="G59" s="2">
        <f t="shared" si="35"/>
        <v>-1.2872873619265255</v>
      </c>
      <c r="H59" s="2">
        <f t="shared" si="35"/>
        <v>-1.170113578568294</v>
      </c>
      <c r="I59" s="2">
        <f t="shared" si="35"/>
        <v>-1.057876483798603</v>
      </c>
      <c r="J59" s="2">
        <f t="shared" si="35"/>
        <v>-0.955813455756147</v>
      </c>
      <c r="K59" s="2">
        <f t="shared" si="35"/>
        <v>-0.86591009239722</v>
      </c>
      <c r="L59" s="2">
        <f t="shared" si="35"/>
        <v>-0.7886263274551942</v>
      </c>
      <c r="M59" s="2">
        <f t="shared" si="35"/>
        <v>-0.7237937835520661</v>
      </c>
      <c r="N59" s="2">
        <f t="shared" si="35"/>
        <v>-0.6710526604125513</v>
      </c>
      <c r="O59" s="2">
        <f t="shared" si="35"/>
        <v>-0.6300673613386115</v>
      </c>
      <c r="P59" s="2">
        <f t="shared" si="35"/>
        <v>-0.6006575293857971</v>
      </c>
      <c r="Q59" s="2">
        <f t="shared" si="35"/>
        <v>-0.5829194331841115</v>
      </c>
      <c r="R59" s="2">
        <f t="shared" si="35"/>
        <v>-0.5773796556036944</v>
      </c>
      <c r="S59" s="2">
        <f t="shared" si="35"/>
        <v>-0.5852094742830536</v>
      </c>
      <c r="T59" s="2">
        <f t="shared" si="35"/>
        <v>-0.6085252161083765</v>
      </c>
      <c r="U59" s="2">
        <f t="shared" si="35"/>
        <v>-0.6507855535716254</v>
      </c>
      <c r="V59" s="2">
        <f t="shared" si="35"/>
        <v>-0.7172019152218307</v>
      </c>
      <c r="W59" s="2">
        <f t="shared" si="35"/>
        <v>-0.8146896607419941</v>
      </c>
      <c r="X59" s="2">
        <f t="shared" si="35"/>
        <v>-0.9497207109702739</v>
      </c>
      <c r="Y59" s="2">
        <f t="shared" si="35"/>
        <v>-1.1204959840404614</v>
      </c>
      <c r="Z59" s="2">
        <f t="shared" si="35"/>
        <v>-1.3025483731520455</v>
      </c>
    </row>
    <row r="60" spans="1:26" ht="15.75">
      <c r="A60" s="55" t="s">
        <v>275</v>
      </c>
      <c r="B60" s="2">
        <f>2*ATAN(B59)</f>
        <v>-1.8320937712102132</v>
      </c>
      <c r="C60" s="2">
        <f aca="true" t="shared" si="36" ref="C60:Z60">2*ATAN(C59)</f>
        <v>-1.9313124532038313</v>
      </c>
      <c r="D60" s="2">
        <f t="shared" si="36"/>
        <v>-1.9694582741120799</v>
      </c>
      <c r="E60" s="2">
        <f t="shared" si="36"/>
        <v>-1.95394718587631</v>
      </c>
      <c r="F60" s="2">
        <f t="shared" si="36"/>
        <v>-1.8997474602543671</v>
      </c>
      <c r="G60" s="2">
        <f t="shared" si="36"/>
        <v>-1.8206912698677835</v>
      </c>
      <c r="H60" s="2">
        <f t="shared" si="36"/>
        <v>-1.7272548800283616</v>
      </c>
      <c r="I60" s="2">
        <f t="shared" si="36"/>
        <v>-1.627030247316946</v>
      </c>
      <c r="J60" s="2">
        <f t="shared" si="36"/>
        <v>-1.5256191872682043</v>
      </c>
      <c r="K60" s="2">
        <f t="shared" si="36"/>
        <v>-1.4273169659265654</v>
      </c>
      <c r="L60" s="2">
        <f t="shared" si="36"/>
        <v>-1.335534394399547</v>
      </c>
      <c r="M60" s="2">
        <f t="shared" si="36"/>
        <v>-1.2530342028086299</v>
      </c>
      <c r="N60" s="2">
        <f t="shared" si="36"/>
        <v>-1.1820658343668027</v>
      </c>
      <c r="O60" s="2">
        <f t="shared" si="36"/>
        <v>-1.1244699289085023</v>
      </c>
      <c r="P60" s="2">
        <f t="shared" si="36"/>
        <v>-1.0818056750257714</v>
      </c>
      <c r="Q60" s="2">
        <f t="shared" si="36"/>
        <v>-1.0555311522066486</v>
      </c>
      <c r="R60" s="2">
        <f t="shared" si="36"/>
        <v>-1.0472416302568013</v>
      </c>
      <c r="S60" s="2">
        <f t="shared" si="36"/>
        <v>-1.058946240849599</v>
      </c>
      <c r="T60" s="2">
        <f t="shared" si="36"/>
        <v>-1.0933289438374618</v>
      </c>
      <c r="U60" s="2">
        <f t="shared" si="36"/>
        <v>-1.1538545137541472</v>
      </c>
      <c r="V60" s="2">
        <f t="shared" si="36"/>
        <v>-1.2443556435667351</v>
      </c>
      <c r="W60" s="2">
        <f t="shared" si="36"/>
        <v>-1.367268181535935</v>
      </c>
      <c r="X60" s="2">
        <f t="shared" si="36"/>
        <v>-1.519231866668143</v>
      </c>
      <c r="Y60" s="2">
        <f t="shared" si="36"/>
        <v>-1.6843231065114939</v>
      </c>
      <c r="Z60" s="2">
        <f t="shared" si="36"/>
        <v>-1.8320937712102132</v>
      </c>
    </row>
    <row r="61" spans="1:26" ht="15.75">
      <c r="A61" s="55" t="s">
        <v>276</v>
      </c>
      <c r="B61" s="2">
        <f>ASIN((-B48+$D$6*SIN(B60))/$D$7)</f>
        <v>-0.8040597278015884</v>
      </c>
      <c r="C61" s="2">
        <f aca="true" t="shared" si="37" ref="C61:Z61">ASIN((-C48+$D$6*SIN(C60))/$D$7)</f>
        <v>-0.6852632065862512</v>
      </c>
      <c r="D61" s="2">
        <f t="shared" si="37"/>
        <v>-0.5973174071420686</v>
      </c>
      <c r="E61" s="2">
        <f t="shared" si="37"/>
        <v>-0.5419219707867043</v>
      </c>
      <c r="F61" s="2">
        <f t="shared" si="37"/>
        <v>-0.5133880586718697</v>
      </c>
      <c r="G61" s="2">
        <f t="shared" si="37"/>
        <v>-0.5053684600760586</v>
      </c>
      <c r="H61" s="2">
        <f t="shared" si="37"/>
        <v>-0.5130961578604329</v>
      </c>
      <c r="I61" s="2">
        <f t="shared" si="37"/>
        <v>-0.5334407464721882</v>
      </c>
      <c r="J61" s="2">
        <f t="shared" si="37"/>
        <v>-0.5644402098471892</v>
      </c>
      <c r="K61" s="2">
        <f t="shared" si="37"/>
        <v>-0.6048379341995596</v>
      </c>
      <c r="L61" s="2">
        <f t="shared" si="37"/>
        <v>-0.6537123671769023</v>
      </c>
      <c r="M61" s="2">
        <f t="shared" si="37"/>
        <v>-0.7101826530362361</v>
      </c>
      <c r="N61" s="2">
        <f t="shared" si="37"/>
        <v>-0.773168340826816</v>
      </c>
      <c r="O61" s="2">
        <f t="shared" si="37"/>
        <v>-0.8411924761068439</v>
      </c>
      <c r="P61" s="2">
        <f t="shared" si="37"/>
        <v>-0.9122212842510193</v>
      </c>
      <c r="Q61" s="2">
        <f t="shared" si="37"/>
        <v>-0.9835264472032317</v>
      </c>
      <c r="R61" s="2">
        <f t="shared" si="37"/>
        <v>-1.0515441362138667</v>
      </c>
      <c r="S61" s="2">
        <f t="shared" si="37"/>
        <v>-1.1117011271110542</v>
      </c>
      <c r="T61" s="2">
        <f t="shared" si="37"/>
        <v>-1.1582007506792236</v>
      </c>
      <c r="U61" s="2">
        <f t="shared" si="37"/>
        <v>-1.1838459304054263</v>
      </c>
      <c r="V61" s="2">
        <f t="shared" si="37"/>
        <v>-1.1802050862436937</v>
      </c>
      <c r="W61" s="2">
        <f t="shared" si="37"/>
        <v>-1.1389254645007783</v>
      </c>
      <c r="X61" s="2">
        <f t="shared" si="37"/>
        <v>-1.0556193489031542</v>
      </c>
      <c r="Y61" s="2">
        <f t="shared" si="37"/>
        <v>-0.9367761836228526</v>
      </c>
      <c r="Z61" s="2">
        <f t="shared" si="37"/>
        <v>-0.8040597278015884</v>
      </c>
    </row>
    <row r="62" spans="1:26" ht="15.75">
      <c r="A62" s="56" t="s">
        <v>272</v>
      </c>
      <c r="B62" s="2">
        <f>$D$6*COS(B60)-$D$7*COS(B61)-B47</f>
        <v>-5.550309644331656</v>
      </c>
      <c r="C62" s="2">
        <f aca="true" t="shared" si="38" ref="C62:Z62">$D$6*COS(C60)-$D$7*COS(C61)-C47</f>
        <v>-6.194019972522394</v>
      </c>
      <c r="D62" s="2">
        <f t="shared" si="38"/>
        <v>-6.614778794223875</v>
      </c>
      <c r="E62" s="2">
        <f t="shared" si="38"/>
        <v>-6.853751547524241</v>
      </c>
      <c r="F62" s="2">
        <f t="shared" si="38"/>
        <v>-6.968684228548307</v>
      </c>
      <c r="G62" s="2">
        <f t="shared" si="38"/>
        <v>-6.999969210367164</v>
      </c>
      <c r="H62" s="2">
        <f t="shared" si="38"/>
        <v>-6.969830824759112</v>
      </c>
      <c r="I62" s="2">
        <f t="shared" si="38"/>
        <v>-6.888500436950882</v>
      </c>
      <c r="J62" s="2">
        <f t="shared" si="38"/>
        <v>-6.759105508615244</v>
      </c>
      <c r="K62" s="2">
        <f t="shared" si="38"/>
        <v>-6.580754109691869</v>
      </c>
      <c r="L62" s="2">
        <f t="shared" si="38"/>
        <v>-6.350653151081225</v>
      </c>
      <c r="M62" s="2">
        <f t="shared" si="38"/>
        <v>-6.0659424313879</v>
      </c>
      <c r="N62" s="2">
        <f t="shared" si="38"/>
        <v>-5.72561181020146</v>
      </c>
      <c r="O62" s="2">
        <f t="shared" si="38"/>
        <v>-5.3325950588583835</v>
      </c>
      <c r="P62" s="2">
        <f t="shared" si="38"/>
        <v>-4.895924196527295</v>
      </c>
      <c r="Q62" s="2">
        <f t="shared" si="38"/>
        <v>-4.432723073533376</v>
      </c>
      <c r="R62" s="2">
        <f t="shared" si="38"/>
        <v>-3.969848284922512</v>
      </c>
      <c r="S62" s="2">
        <f t="shared" si="38"/>
        <v>-3.545097414168147</v>
      </c>
      <c r="T62" s="2">
        <f t="shared" si="38"/>
        <v>-3.2079075159729538</v>
      </c>
      <c r="U62" s="2">
        <f t="shared" si="38"/>
        <v>-3.0189283647712184</v>
      </c>
      <c r="V62" s="2">
        <f t="shared" si="38"/>
        <v>-3.045881539066486</v>
      </c>
      <c r="W62" s="2">
        <f t="shared" si="38"/>
        <v>-3.348564973080025</v>
      </c>
      <c r="X62" s="2">
        <f t="shared" si="38"/>
        <v>-3.9415109111448854</v>
      </c>
      <c r="Y62" s="2">
        <f t="shared" si="38"/>
        <v>-4.739106997781313</v>
      </c>
      <c r="Z62" s="2">
        <f t="shared" si="38"/>
        <v>-5.550309644331656</v>
      </c>
    </row>
    <row r="63" spans="1:26" ht="15.75">
      <c r="A63" s="56" t="s">
        <v>41</v>
      </c>
      <c r="B63" s="2">
        <f>$D$6*SIN(B60)-$D$7*SIN(B61)-B48</f>
        <v>1.0408340855860843E-16</v>
      </c>
      <c r="C63" s="2">
        <f aca="true" t="shared" si="39" ref="C63:Z63">$D$6*SIN(C60)-$D$7*SIN(C61)-C48</f>
        <v>0</v>
      </c>
      <c r="D63" s="2">
        <f t="shared" si="39"/>
        <v>0</v>
      </c>
      <c r="E63" s="2">
        <f t="shared" si="39"/>
        <v>0</v>
      </c>
      <c r="F63" s="2">
        <f t="shared" si="39"/>
        <v>0</v>
      </c>
      <c r="G63" s="2">
        <f t="shared" si="39"/>
        <v>0</v>
      </c>
      <c r="H63" s="2">
        <f t="shared" si="39"/>
        <v>0</v>
      </c>
      <c r="I63" s="2">
        <f t="shared" si="39"/>
        <v>0</v>
      </c>
      <c r="J63" s="2">
        <f t="shared" si="39"/>
        <v>0</v>
      </c>
      <c r="K63" s="2">
        <f t="shared" si="39"/>
        <v>0</v>
      </c>
      <c r="L63" s="2">
        <f t="shared" si="39"/>
        <v>0</v>
      </c>
      <c r="M63" s="2">
        <f t="shared" si="39"/>
        <v>0</v>
      </c>
      <c r="N63" s="2">
        <f t="shared" si="39"/>
        <v>4.614364446098307E-16</v>
      </c>
      <c r="O63" s="2">
        <f t="shared" si="39"/>
        <v>0</v>
      </c>
      <c r="P63" s="2">
        <f t="shared" si="39"/>
        <v>0</v>
      </c>
      <c r="Q63" s="2">
        <f t="shared" si="39"/>
        <v>0</v>
      </c>
      <c r="R63" s="2">
        <f t="shared" si="39"/>
        <v>0</v>
      </c>
      <c r="S63" s="2">
        <f t="shared" si="39"/>
        <v>0</v>
      </c>
      <c r="T63" s="2">
        <f t="shared" si="39"/>
        <v>0</v>
      </c>
      <c r="U63" s="2">
        <f t="shared" si="39"/>
        <v>0</v>
      </c>
      <c r="V63" s="2">
        <f t="shared" si="39"/>
        <v>0</v>
      </c>
      <c r="W63" s="2">
        <f t="shared" si="39"/>
        <v>0</v>
      </c>
      <c r="X63" s="2">
        <f t="shared" si="39"/>
        <v>0</v>
      </c>
      <c r="Y63" s="2">
        <f t="shared" si="39"/>
        <v>5.828670879282072E-16</v>
      </c>
      <c r="Z63" s="2">
        <f t="shared" si="39"/>
        <v>-1.4224732503009818E-16</v>
      </c>
    </row>
    <row r="64" spans="1:26" ht="15.75">
      <c r="A64" s="55" t="s">
        <v>277</v>
      </c>
      <c r="B64" s="2">
        <f>ACOS((-B47+$D$6*COS(B60))/$D$7)</f>
        <v>2.3375329257882047</v>
      </c>
      <c r="C64" s="2">
        <f aca="true" t="shared" si="40" ref="C64:Z64">ACOS((-C47+$D$6*COS(C60))/$D$7)</f>
        <v>2.456329447003542</v>
      </c>
      <c r="D64" s="2">
        <f t="shared" si="40"/>
        <v>2.5442752464477243</v>
      </c>
      <c r="E64" s="2">
        <f t="shared" si="40"/>
        <v>2.5996706828030884</v>
      </c>
      <c r="F64" s="2">
        <f t="shared" si="40"/>
        <v>2.628204594917923</v>
      </c>
      <c r="G64" s="2">
        <f t="shared" si="40"/>
        <v>2.6362241935137347</v>
      </c>
      <c r="H64" s="2">
        <f t="shared" si="40"/>
        <v>2.62849649572936</v>
      </c>
      <c r="I64" s="2">
        <f t="shared" si="40"/>
        <v>2.608151907117605</v>
      </c>
      <c r="J64" s="2">
        <f t="shared" si="40"/>
        <v>2.5771524437426043</v>
      </c>
      <c r="K64" s="2">
        <f t="shared" si="40"/>
        <v>2.5367547193902333</v>
      </c>
      <c r="L64" s="2">
        <f t="shared" si="40"/>
        <v>2.487880286412891</v>
      </c>
      <c r="M64" s="2">
        <f t="shared" si="40"/>
        <v>2.431410000553557</v>
      </c>
      <c r="N64" s="2">
        <f t="shared" si="40"/>
        <v>2.3684243127629774</v>
      </c>
      <c r="O64" s="2">
        <f t="shared" si="40"/>
        <v>2.3004001774829494</v>
      </c>
      <c r="P64" s="2">
        <f t="shared" si="40"/>
        <v>2.229371369338774</v>
      </c>
      <c r="Q64" s="2">
        <f t="shared" si="40"/>
        <v>2.1580662063865614</v>
      </c>
      <c r="R64" s="2">
        <f t="shared" si="40"/>
        <v>2.0900485173759265</v>
      </c>
      <c r="S64" s="2">
        <f t="shared" si="40"/>
        <v>2.0298915264787385</v>
      </c>
      <c r="T64" s="2">
        <f t="shared" si="40"/>
        <v>1.9833919029105695</v>
      </c>
      <c r="U64" s="2">
        <f t="shared" si="40"/>
        <v>1.9577467231843666</v>
      </c>
      <c r="V64" s="2">
        <f t="shared" si="40"/>
        <v>1.9613875673460996</v>
      </c>
      <c r="W64" s="2">
        <f t="shared" si="40"/>
        <v>2.0026671890890153</v>
      </c>
      <c r="X64" s="2">
        <f t="shared" si="40"/>
        <v>2.0859733046866387</v>
      </c>
      <c r="Y64" s="2">
        <f t="shared" si="40"/>
        <v>2.204816469966941</v>
      </c>
      <c r="Z64" s="2">
        <f t="shared" si="40"/>
        <v>2.3375329257882047</v>
      </c>
    </row>
    <row r="65" spans="1:26" ht="15.75">
      <c r="A65" s="56" t="s">
        <v>272</v>
      </c>
      <c r="B65" s="2">
        <f>$D$6*COS(B60)-$D$7*COS(B64)-B47</f>
        <v>0</v>
      </c>
      <c r="C65" s="2">
        <f aca="true" t="shared" si="41" ref="C65:Z65">$D$6*COS(C60)-$D$7*COS(C64)-C47</f>
        <v>0</v>
      </c>
      <c r="D65" s="2">
        <f t="shared" si="41"/>
        <v>0</v>
      </c>
      <c r="E65" s="2">
        <f t="shared" si="41"/>
        <v>0</v>
      </c>
      <c r="F65" s="2">
        <f t="shared" si="41"/>
        <v>0</v>
      </c>
      <c r="G65" s="2">
        <f t="shared" si="41"/>
        <v>0</v>
      </c>
      <c r="H65" s="2">
        <f t="shared" si="41"/>
        <v>0</v>
      </c>
      <c r="I65" s="2">
        <f t="shared" si="41"/>
        <v>0</v>
      </c>
      <c r="J65" s="2">
        <f t="shared" si="41"/>
        <v>0</v>
      </c>
      <c r="K65" s="2">
        <f t="shared" si="41"/>
        <v>0</v>
      </c>
      <c r="L65" s="2">
        <f t="shared" si="41"/>
        <v>0</v>
      </c>
      <c r="M65" s="2">
        <f t="shared" si="41"/>
        <v>0</v>
      </c>
      <c r="N65" s="2">
        <f t="shared" si="41"/>
        <v>0</v>
      </c>
      <c r="O65" s="2">
        <f t="shared" si="41"/>
        <v>0</v>
      </c>
      <c r="P65" s="2">
        <f t="shared" si="41"/>
        <v>0</v>
      </c>
      <c r="Q65" s="2">
        <f t="shared" si="41"/>
        <v>0</v>
      </c>
      <c r="R65" s="2">
        <f t="shared" si="41"/>
        <v>0</v>
      </c>
      <c r="S65" s="2">
        <f t="shared" si="41"/>
        <v>0</v>
      </c>
      <c r="T65" s="2">
        <f t="shared" si="41"/>
        <v>0</v>
      </c>
      <c r="U65" s="2">
        <f t="shared" si="41"/>
        <v>0</v>
      </c>
      <c r="V65" s="2">
        <f t="shared" si="41"/>
        <v>0</v>
      </c>
      <c r="W65" s="2">
        <f t="shared" si="41"/>
        <v>0</v>
      </c>
      <c r="X65" s="2">
        <f t="shared" si="41"/>
        <v>0</v>
      </c>
      <c r="Y65" s="2">
        <f t="shared" si="41"/>
        <v>0</v>
      </c>
      <c r="Z65" s="2">
        <f t="shared" si="41"/>
        <v>0</v>
      </c>
    </row>
    <row r="66" spans="1:26" ht="16.5" thickBot="1">
      <c r="A66" s="56" t="s">
        <v>41</v>
      </c>
      <c r="B66" s="13">
        <f>$D$6*SIN(B60)-$D$7*SIN(B64)-B48</f>
        <v>-5.761428889784114</v>
      </c>
      <c r="C66" s="13">
        <f aca="true" t="shared" si="42" ref="C66:Z66">$D$6*SIN(C60)-$D$7*SIN(C64)-C48</f>
        <v>-5.063014574341425</v>
      </c>
      <c r="D66" s="13">
        <f t="shared" si="42"/>
        <v>-4.499411239649711</v>
      </c>
      <c r="E66" s="13">
        <f t="shared" si="42"/>
        <v>-4.12626825652539</v>
      </c>
      <c r="F66" s="13">
        <f t="shared" si="42"/>
        <v>-3.9290507915757598</v>
      </c>
      <c r="G66" s="13">
        <f t="shared" si="42"/>
        <v>-3.873038994628341</v>
      </c>
      <c r="H66" s="13">
        <f t="shared" si="42"/>
        <v>-3.9270164596341735</v>
      </c>
      <c r="I66" s="13">
        <f t="shared" si="42"/>
        <v>-4.067992346370321</v>
      </c>
      <c r="J66" s="13">
        <f t="shared" si="42"/>
        <v>-4.279543518111138</v>
      </c>
      <c r="K66" s="13">
        <f t="shared" si="42"/>
        <v>-4.549030154634456</v>
      </c>
      <c r="L66" s="13">
        <f t="shared" si="42"/>
        <v>-4.865100672613273</v>
      </c>
      <c r="M66" s="13">
        <f t="shared" si="42"/>
        <v>-5.215778217973599</v>
      </c>
      <c r="N66" s="13">
        <f t="shared" si="42"/>
        <v>-5.587250611784078</v>
      </c>
      <c r="O66" s="13">
        <f t="shared" si="42"/>
        <v>-5.963508190506587</v>
      </c>
      <c r="P66" s="13">
        <f t="shared" si="42"/>
        <v>-6.326920756723492</v>
      </c>
      <c r="Q66" s="13">
        <f t="shared" si="42"/>
        <v>-6.659652104529546</v>
      </c>
      <c r="R66" s="13">
        <f t="shared" si="42"/>
        <v>-6.945524069118024</v>
      </c>
      <c r="S66" s="13">
        <f t="shared" si="42"/>
        <v>-7.1716305206039666</v>
      </c>
      <c r="T66" s="13">
        <f t="shared" si="42"/>
        <v>-7.3286649104024555</v>
      </c>
      <c r="U66" s="13">
        <f t="shared" si="42"/>
        <v>-7.408513449294654</v>
      </c>
      <c r="V66" s="13">
        <f t="shared" si="42"/>
        <v>-7.397472923233581</v>
      </c>
      <c r="W66" s="13">
        <f t="shared" si="42"/>
        <v>-7.265474012138613</v>
      </c>
      <c r="X66" s="13">
        <f t="shared" si="42"/>
        <v>-6.961644327120268</v>
      </c>
      <c r="Y66" s="13">
        <f t="shared" si="42"/>
        <v>-6.445220311485108</v>
      </c>
      <c r="Z66" s="13">
        <f t="shared" si="42"/>
        <v>-5.761428889784114</v>
      </c>
    </row>
    <row r="67" ht="15.75" thickBot="1">
      <c r="A67" s="6"/>
    </row>
    <row r="68" ht="15.75" thickBot="1">
      <c r="A68" s="22" t="s">
        <v>24</v>
      </c>
    </row>
    <row r="69" spans="1:26" ht="15.75">
      <c r="A69" s="44" t="s">
        <v>25</v>
      </c>
      <c r="B69" s="17">
        <f>B52</f>
        <v>1.8146431365739295</v>
      </c>
      <c r="C69" s="17">
        <f aca="true" t="shared" si="43" ref="C69:Z69">C52</f>
        <v>1.6625422278279998</v>
      </c>
      <c r="D69" s="17">
        <f t="shared" si="43"/>
        <v>1.4976992224357806</v>
      </c>
      <c r="E69" s="17">
        <f t="shared" si="43"/>
        <v>1.3490307306248714</v>
      </c>
      <c r="F69" s="17">
        <f t="shared" si="43"/>
        <v>1.230436316739837</v>
      </c>
      <c r="G69" s="17">
        <f t="shared" si="43"/>
        <v>1.144133822091828</v>
      </c>
      <c r="H69" s="17">
        <f t="shared" si="43"/>
        <v>1.087317029678617</v>
      </c>
      <c r="I69" s="17">
        <f t="shared" si="43"/>
        <v>1.0561419990885978</v>
      </c>
      <c r="J69" s="17">
        <f t="shared" si="43"/>
        <v>1.0472414087271393</v>
      </c>
      <c r="K69" s="17">
        <f t="shared" si="43"/>
        <v>1.0580330827432611</v>
      </c>
      <c r="L69" s="17">
        <f t="shared" si="43"/>
        <v>1.0865793584013812</v>
      </c>
      <c r="M69" s="17">
        <f t="shared" si="43"/>
        <v>1.1313187575061072</v>
      </c>
      <c r="N69" s="17">
        <f t="shared" si="43"/>
        <v>1.190792314480582</v>
      </c>
      <c r="O69" s="17">
        <f t="shared" si="43"/>
        <v>1.2634124185746172</v>
      </c>
      <c r="P69" s="17">
        <f t="shared" si="43"/>
        <v>1.347290365796665</v>
      </c>
      <c r="Q69" s="17">
        <f t="shared" si="43"/>
        <v>1.4401143421228957</v>
      </c>
      <c r="R69" s="17">
        <f t="shared" si="43"/>
        <v>1.5390444182745333</v>
      </c>
      <c r="S69" s="17">
        <f t="shared" si="43"/>
        <v>1.6405686691853598</v>
      </c>
      <c r="T69" s="17">
        <f t="shared" si="43"/>
        <v>1.7402470904074403</v>
      </c>
      <c r="U69" s="17">
        <f t="shared" si="43"/>
        <v>1.8322582189813492</v>
      </c>
      <c r="V69" s="17">
        <f t="shared" si="43"/>
        <v>1.9086787681820692</v>
      </c>
      <c r="W69" s="17">
        <f t="shared" si="43"/>
        <v>1.9585867575961917</v>
      </c>
      <c r="X69" s="17">
        <f t="shared" si="43"/>
        <v>1.967767348850021</v>
      </c>
      <c r="Y69" s="17">
        <f t="shared" si="43"/>
        <v>1.921585204866926</v>
      </c>
      <c r="Z69" s="17">
        <f t="shared" si="43"/>
        <v>1.8146431365739297</v>
      </c>
    </row>
    <row r="70" spans="1:26" ht="15.75">
      <c r="A70" s="34" t="s">
        <v>26</v>
      </c>
      <c r="B70" s="2">
        <f>B53</f>
        <v>2.320082291151921</v>
      </c>
      <c r="C70" s="2">
        <f aca="true" t="shared" si="44" ref="C70:Z70">C53</f>
        <v>2.18755922162771</v>
      </c>
      <c r="D70" s="2">
        <f t="shared" si="44"/>
        <v>2.072516194771425</v>
      </c>
      <c r="E70" s="2">
        <f t="shared" si="44"/>
        <v>1.9947542275516503</v>
      </c>
      <c r="F70" s="2">
        <f t="shared" si="44"/>
        <v>1.9588934514033935</v>
      </c>
      <c r="G70" s="2">
        <f t="shared" si="44"/>
        <v>1.9596667457377792</v>
      </c>
      <c r="H70" s="2">
        <f t="shared" si="44"/>
        <v>1.9885586453796154</v>
      </c>
      <c r="I70" s="2">
        <f t="shared" si="44"/>
        <v>2.0372636588892568</v>
      </c>
      <c r="J70" s="2">
        <f t="shared" si="44"/>
        <v>2.098774665201539</v>
      </c>
      <c r="K70" s="2">
        <f t="shared" si="44"/>
        <v>2.1674708362069293</v>
      </c>
      <c r="L70" s="2">
        <f t="shared" si="44"/>
        <v>2.2389252504147255</v>
      </c>
      <c r="M70" s="2">
        <f t="shared" si="44"/>
        <v>2.3096945552510344</v>
      </c>
      <c r="N70" s="2">
        <f t="shared" si="44"/>
        <v>2.377150792876757</v>
      </c>
      <c r="O70" s="2">
        <f t="shared" si="44"/>
        <v>2.439342667149064</v>
      </c>
      <c r="P70" s="2">
        <f t="shared" si="44"/>
        <v>2.4948560601096674</v>
      </c>
      <c r="Q70" s="2">
        <f t="shared" si="44"/>
        <v>2.5426493963028083</v>
      </c>
      <c r="R70" s="2">
        <f t="shared" si="44"/>
        <v>2.5818513053936587</v>
      </c>
      <c r="S70" s="2">
        <f t="shared" si="44"/>
        <v>2.611513954814499</v>
      </c>
      <c r="T70" s="2">
        <f t="shared" si="44"/>
        <v>2.6303100494805483</v>
      </c>
      <c r="U70" s="2">
        <f t="shared" si="44"/>
        <v>2.636150428411568</v>
      </c>
      <c r="V70" s="2">
        <f t="shared" si="44"/>
        <v>2.6257106919614337</v>
      </c>
      <c r="W70" s="2">
        <f t="shared" si="44"/>
        <v>2.593985765149272</v>
      </c>
      <c r="X70" s="2">
        <f t="shared" si="44"/>
        <v>2.5345087868685163</v>
      </c>
      <c r="Y70" s="2">
        <f t="shared" si="44"/>
        <v>2.442078568322373</v>
      </c>
      <c r="Z70" s="2">
        <f t="shared" si="44"/>
        <v>2.3200822911519214</v>
      </c>
    </row>
    <row r="71" spans="1:26" ht="15.75">
      <c r="A71" s="35" t="s">
        <v>278</v>
      </c>
      <c r="B71" s="2">
        <f>B69-$B$69</f>
        <v>0</v>
      </c>
      <c r="C71" s="2">
        <f aca="true" t="shared" si="45" ref="C71:Z71">C69-$B$69</f>
        <v>-0.15210090874592974</v>
      </c>
      <c r="D71" s="2">
        <f t="shared" si="45"/>
        <v>-0.31694391413814893</v>
      </c>
      <c r="E71" s="2">
        <f t="shared" si="45"/>
        <v>-0.46561240594905806</v>
      </c>
      <c r="F71" s="2">
        <f t="shared" si="45"/>
        <v>-0.5842068198340924</v>
      </c>
      <c r="G71" s="2">
        <f t="shared" si="45"/>
        <v>-0.6705093144821015</v>
      </c>
      <c r="H71" s="2">
        <f t="shared" si="45"/>
        <v>-0.7273261068953125</v>
      </c>
      <c r="I71" s="2">
        <f t="shared" si="45"/>
        <v>-0.7585011374853317</v>
      </c>
      <c r="J71" s="2">
        <f t="shared" si="45"/>
        <v>-0.7674017278467902</v>
      </c>
      <c r="K71" s="2">
        <f t="shared" si="45"/>
        <v>-0.7566100538306684</v>
      </c>
      <c r="L71" s="2">
        <f t="shared" si="45"/>
        <v>-0.7280637781725483</v>
      </c>
      <c r="M71" s="2">
        <f t="shared" si="45"/>
        <v>-0.6833243790678223</v>
      </c>
      <c r="N71" s="2">
        <f t="shared" si="45"/>
        <v>-0.6238508220933474</v>
      </c>
      <c r="O71" s="2">
        <f t="shared" si="45"/>
        <v>-0.5512307179993123</v>
      </c>
      <c r="P71" s="2">
        <f t="shared" si="45"/>
        <v>-0.46735277077726445</v>
      </c>
      <c r="Q71" s="2">
        <f t="shared" si="45"/>
        <v>-0.3745287944510338</v>
      </c>
      <c r="R71" s="2">
        <f t="shared" si="45"/>
        <v>-0.2755987182993962</v>
      </c>
      <c r="S71" s="2">
        <f t="shared" si="45"/>
        <v>-0.1740744673885697</v>
      </c>
      <c r="T71" s="2">
        <f t="shared" si="45"/>
        <v>-0.0743960461664892</v>
      </c>
      <c r="U71" s="2">
        <f t="shared" si="45"/>
        <v>0.017615082407419713</v>
      </c>
      <c r="V71" s="2">
        <f t="shared" si="45"/>
        <v>0.09403563160813966</v>
      </c>
      <c r="W71" s="2">
        <f t="shared" si="45"/>
        <v>0.1439436210222622</v>
      </c>
      <c r="X71" s="2">
        <f t="shared" si="45"/>
        <v>0.1531242122760914</v>
      </c>
      <c r="Y71" s="2">
        <f t="shared" si="45"/>
        <v>0.10694206829299646</v>
      </c>
      <c r="Z71" s="2">
        <f t="shared" si="45"/>
        <v>0</v>
      </c>
    </row>
    <row r="72" spans="1:26" ht="15.75">
      <c r="A72" s="34" t="s">
        <v>279</v>
      </c>
      <c r="B72" s="2">
        <f>B70-$B$70</f>
        <v>0</v>
      </c>
      <c r="C72" s="2">
        <f aca="true" t="shared" si="46" ref="C72:Z72">C70-$B$70</f>
        <v>-0.13252306952421078</v>
      </c>
      <c r="D72" s="2">
        <f t="shared" si="46"/>
        <v>-0.24756609638049598</v>
      </c>
      <c r="E72" s="2">
        <f t="shared" si="46"/>
        <v>-0.32532806360027067</v>
      </c>
      <c r="F72" s="2">
        <f t="shared" si="46"/>
        <v>-0.36118883974852745</v>
      </c>
      <c r="G72" s="2">
        <f t="shared" si="46"/>
        <v>-0.3604155454141418</v>
      </c>
      <c r="H72" s="2">
        <f t="shared" si="46"/>
        <v>-0.33152364577230564</v>
      </c>
      <c r="I72" s="2">
        <f t="shared" si="46"/>
        <v>-0.28281863226266424</v>
      </c>
      <c r="J72" s="2">
        <f t="shared" si="46"/>
        <v>-0.22130762595038211</v>
      </c>
      <c r="K72" s="2">
        <f t="shared" si="46"/>
        <v>-0.15261145494499173</v>
      </c>
      <c r="L72" s="2">
        <f t="shared" si="46"/>
        <v>-0.08115704073719554</v>
      </c>
      <c r="M72" s="2">
        <f t="shared" si="46"/>
        <v>-0.010387735900886597</v>
      </c>
      <c r="N72" s="2">
        <f t="shared" si="46"/>
        <v>0.05706850172483602</v>
      </c>
      <c r="O72" s="2">
        <f t="shared" si="46"/>
        <v>0.1192603759971429</v>
      </c>
      <c r="P72" s="2">
        <f t="shared" si="46"/>
        <v>0.17477376895774643</v>
      </c>
      <c r="Q72" s="2">
        <f t="shared" si="46"/>
        <v>0.2225671051508873</v>
      </c>
      <c r="R72" s="2">
        <f t="shared" si="46"/>
        <v>0.2617690142417377</v>
      </c>
      <c r="S72" s="2">
        <f t="shared" si="46"/>
        <v>0.291431663662578</v>
      </c>
      <c r="T72" s="2">
        <f t="shared" si="46"/>
        <v>0.31022775832862726</v>
      </c>
      <c r="U72" s="2">
        <f t="shared" si="46"/>
        <v>0.3160681372596472</v>
      </c>
      <c r="V72" s="2">
        <f t="shared" si="46"/>
        <v>0.3056284008095127</v>
      </c>
      <c r="W72" s="2">
        <f t="shared" si="46"/>
        <v>0.27390347399735093</v>
      </c>
      <c r="X72" s="2">
        <f t="shared" si="46"/>
        <v>0.21442649571659533</v>
      </c>
      <c r="Y72" s="2">
        <f t="shared" si="46"/>
        <v>0.12199627717045214</v>
      </c>
      <c r="Z72" s="2">
        <f t="shared" si="46"/>
        <v>0</v>
      </c>
    </row>
    <row r="73" spans="1:26" ht="15.75">
      <c r="A73" s="34" t="s">
        <v>47</v>
      </c>
      <c r="B73" s="2">
        <f>-B33</f>
        <v>0.01745240643728351</v>
      </c>
      <c r="C73" s="2">
        <f aca="true" t="shared" si="47" ref="C73:Z73">-C33</f>
        <v>0.2756373558169992</v>
      </c>
      <c r="D73" s="2">
        <f t="shared" si="47"/>
        <v>0.5158860464972513</v>
      </c>
      <c r="E73" s="2">
        <f t="shared" si="47"/>
        <v>0.7186965874041702</v>
      </c>
      <c r="F73" s="2">
        <f t="shared" si="47"/>
        <v>0.8708912741523848</v>
      </c>
      <c r="G73" s="2">
        <f t="shared" si="47"/>
        <v>0.9645404494390664</v>
      </c>
      <c r="H73" s="2">
        <f t="shared" si="47"/>
        <v>0.9935386426402742</v>
      </c>
      <c r="I73" s="2">
        <f t="shared" si="47"/>
        <v>0.9552388813304833</v>
      </c>
      <c r="J73" s="2">
        <f t="shared" si="47"/>
        <v>0.8520138013585072</v>
      </c>
      <c r="K73" s="2">
        <f t="shared" si="47"/>
        <v>0.6908275903170688</v>
      </c>
      <c r="L73" s="2">
        <f t="shared" si="47"/>
        <v>0.48241301986000773</v>
      </c>
      <c r="M73" s="2">
        <f t="shared" si="47"/>
        <v>0.24080660408434199</v>
      </c>
      <c r="N73" s="2">
        <f t="shared" si="47"/>
        <v>-0.01737101279949779</v>
      </c>
      <c r="O73" s="2">
        <f t="shared" si="47"/>
        <v>-0.2742579215183775</v>
      </c>
      <c r="P73" s="2">
        <f t="shared" si="47"/>
        <v>-0.5122143474124896</v>
      </c>
      <c r="Q73" s="2">
        <f t="shared" si="47"/>
        <v>-0.7149678230973916</v>
      </c>
      <c r="R73" s="2">
        <f t="shared" si="47"/>
        <v>-0.8686410786760989</v>
      </c>
      <c r="S73" s="2">
        <f t="shared" si="47"/>
        <v>-0.9628377859154879</v>
      </c>
      <c r="T73" s="2">
        <f t="shared" si="47"/>
        <v>-0.9914287632169412</v>
      </c>
      <c r="U73" s="2">
        <f t="shared" si="47"/>
        <v>-0.9527325949792131</v>
      </c>
      <c r="V73" s="2">
        <f t="shared" si="47"/>
        <v>-0.8493925747765725</v>
      </c>
      <c r="W73" s="2">
        <f t="shared" si="47"/>
        <v>-0.6883453149479527</v>
      </c>
      <c r="X73" s="2">
        <f t="shared" si="47"/>
        <v>-0.4806042381747778</v>
      </c>
      <c r="Y73" s="2">
        <f t="shared" si="47"/>
        <v>-0.24021647284291384</v>
      </c>
      <c r="Z73" s="2">
        <f t="shared" si="47"/>
        <v>0.0173915165312202</v>
      </c>
    </row>
    <row r="74" spans="1:26" ht="15.75">
      <c r="A74" s="34" t="s">
        <v>48</v>
      </c>
      <c r="B74" s="2">
        <f>-B34</f>
        <v>-0.9998476951563913</v>
      </c>
      <c r="C74" s="2">
        <f aca="true" t="shared" si="48" ref="C74:Z74">-C34</f>
        <v>-0.9612616959383189</v>
      </c>
      <c r="D74" s="2">
        <f t="shared" si="48"/>
        <v>-0.858578562416301</v>
      </c>
      <c r="E74" s="2">
        <f t="shared" si="48"/>
        <v>-0.6940372269483585</v>
      </c>
      <c r="F74" s="2">
        <f t="shared" si="48"/>
        <v>-0.4827429160939019</v>
      </c>
      <c r="G74" s="2">
        <f t="shared" si="48"/>
        <v>-0.2404869439201063</v>
      </c>
      <c r="H74" s="2">
        <f t="shared" si="48"/>
        <v>0.01734228151597909</v>
      </c>
      <c r="I74" s="2">
        <f t="shared" si="48"/>
        <v>0.2739103415189215</v>
      </c>
      <c r="J74" s="2">
        <f t="shared" si="48"/>
        <v>0.5119415401042979</v>
      </c>
      <c r="K74" s="2">
        <f t="shared" si="48"/>
        <v>0.7153729113762178</v>
      </c>
      <c r="L74" s="2">
        <f t="shared" si="48"/>
        <v>0.870296125592156</v>
      </c>
      <c r="M74" s="2">
        <f t="shared" si="48"/>
        <v>0.9658225363309945</v>
      </c>
      <c r="N74" s="2">
        <f t="shared" si="48"/>
        <v>0.9951846567706409</v>
      </c>
      <c r="O74" s="2">
        <f t="shared" si="48"/>
        <v>0.956451036840976</v>
      </c>
      <c r="P74" s="2">
        <f t="shared" si="48"/>
        <v>0.8524678289641664</v>
      </c>
      <c r="Q74" s="2">
        <f t="shared" si="48"/>
        <v>0.6904364011134007</v>
      </c>
      <c r="R74" s="2">
        <f t="shared" si="48"/>
        <v>0.48149561237385796</v>
      </c>
      <c r="S74" s="2">
        <f t="shared" si="48"/>
        <v>0.24006242222425841</v>
      </c>
      <c r="T74" s="2">
        <f t="shared" si="48"/>
        <v>-0.017305453433653983</v>
      </c>
      <c r="U74" s="2">
        <f t="shared" si="48"/>
        <v>-0.273191675472305</v>
      </c>
      <c r="V74" s="2">
        <f t="shared" si="48"/>
        <v>-0.5103665482776649</v>
      </c>
      <c r="W74" s="2">
        <f t="shared" si="48"/>
        <v>-0.7128024399843215</v>
      </c>
      <c r="X74" s="2">
        <f t="shared" si="48"/>
        <v>-0.8670329970531414</v>
      </c>
      <c r="Y74" s="2">
        <f t="shared" si="48"/>
        <v>-0.9634556491995901</v>
      </c>
      <c r="Z74" s="2">
        <f t="shared" si="48"/>
        <v>-0.9963593147743376</v>
      </c>
    </row>
    <row r="75" spans="1:26" ht="15.75">
      <c r="A75" s="34" t="s">
        <v>27</v>
      </c>
      <c r="B75" s="2">
        <f>$D$7*(B73*COS(B70)+B74*SIN(B70))/($D$6*$D$7*SIN(B70-B69))</f>
        <v>-0.5121600607838774</v>
      </c>
      <c r="C75" s="2">
        <f aca="true" t="shared" si="49" ref="C75:Z75">$D$7*(C73*COS(C70)+C74*SIN(C70))/($D$6*$D$7*SIN(C70-C69))</f>
        <v>-0.6275138927669566</v>
      </c>
      <c r="D75" s="2">
        <f t="shared" si="49"/>
        <v>-0.6136388787386001</v>
      </c>
      <c r="E75" s="2">
        <f t="shared" si="49"/>
        <v>-0.514168649283854</v>
      </c>
      <c r="F75" s="2">
        <f t="shared" si="49"/>
        <v>-0.3887581125552818</v>
      </c>
      <c r="G75" s="2">
        <f t="shared" si="49"/>
        <v>-0.2693028017210319</v>
      </c>
      <c r="H75" s="2">
        <f t="shared" si="49"/>
        <v>-0.1646239254593627</v>
      </c>
      <c r="I75" s="2">
        <f t="shared" si="49"/>
        <v>-0.07417958846982141</v>
      </c>
      <c r="J75" s="2">
        <f t="shared" si="49"/>
        <v>0.0049892420856972155</v>
      </c>
      <c r="K75" s="2">
        <f t="shared" si="49"/>
        <v>0.07578711038951341</v>
      </c>
      <c r="L75" s="2">
        <f t="shared" si="49"/>
        <v>0.14019736208600328</v>
      </c>
      <c r="M75" s="2">
        <f t="shared" si="49"/>
        <v>0.1990541161973918</v>
      </c>
      <c r="N75" s="2">
        <f t="shared" si="49"/>
        <v>0.2521870306591504</v>
      </c>
      <c r="O75" s="2">
        <f t="shared" si="49"/>
        <v>0.2987106994340476</v>
      </c>
      <c r="P75" s="2">
        <f t="shared" si="49"/>
        <v>0.33724246790369355</v>
      </c>
      <c r="Q75" s="2">
        <f t="shared" si="49"/>
        <v>0.3659838982156291</v>
      </c>
      <c r="R75" s="2">
        <f t="shared" si="49"/>
        <v>0.3826940119082998</v>
      </c>
      <c r="S75" s="2">
        <f t="shared" si="49"/>
        <v>0.3844835069174664</v>
      </c>
      <c r="T75" s="2">
        <f t="shared" si="49"/>
        <v>0.36724681571676837</v>
      </c>
      <c r="U75" s="2">
        <f t="shared" si="49"/>
        <v>0.324659577775281</v>
      </c>
      <c r="V75" s="2">
        <f t="shared" si="49"/>
        <v>0.24706977120090498</v>
      </c>
      <c r="W75" s="2">
        <f t="shared" si="49"/>
        <v>0.12163642461336104</v>
      </c>
      <c r="X75" s="2">
        <f t="shared" si="49"/>
        <v>-0.06202000775252631</v>
      </c>
      <c r="Y75" s="2">
        <f t="shared" si="49"/>
        <v>-0.2925845844880347</v>
      </c>
      <c r="Z75" s="2">
        <f t="shared" si="49"/>
        <v>-0.5103731795246964</v>
      </c>
    </row>
    <row r="76" spans="1:26" ht="15.75">
      <c r="A76" s="34" t="s">
        <v>28</v>
      </c>
      <c r="B76" s="2">
        <f>$D$6*(B73*COS(B69)+B74*SIN(B69))/($D$6*$D$7*SIN(B70-B69))</f>
        <v>-0.5031489576729414</v>
      </c>
      <c r="C76" s="2">
        <f aca="true" t="shared" si="50" ref="C76:Z76">$D$6*(C73*COS(C69)+C74*SIN(C69))/($D$6*$D$7*SIN(C70-C69))</f>
        <v>-0.49003278864053346</v>
      </c>
      <c r="D76" s="2">
        <f t="shared" si="50"/>
        <v>-0.37641987078794825</v>
      </c>
      <c r="E76" s="2">
        <f t="shared" si="50"/>
        <v>-0.21559572637144656</v>
      </c>
      <c r="F76" s="2">
        <f t="shared" si="50"/>
        <v>-0.061709052200941264</v>
      </c>
      <c r="G76" s="2">
        <f t="shared" si="50"/>
        <v>0.061885344825213004</v>
      </c>
      <c r="H76" s="2">
        <f t="shared" si="50"/>
        <v>0.15215360359435426</v>
      </c>
      <c r="I76" s="2">
        <f t="shared" si="50"/>
        <v>0.21315467103253632</v>
      </c>
      <c r="J76" s="2">
        <f t="shared" si="50"/>
        <v>0.2503326002634766</v>
      </c>
      <c r="K76" s="2">
        <f t="shared" si="50"/>
        <v>0.2686590520841752</v>
      </c>
      <c r="L76" s="2">
        <f t="shared" si="50"/>
        <v>0.27218888595592894</v>
      </c>
      <c r="M76" s="2">
        <f t="shared" si="50"/>
        <v>0.26420839871546575</v>
      </c>
      <c r="N76" s="2">
        <f t="shared" si="50"/>
        <v>0.24750233904194743</v>
      </c>
      <c r="O76" s="2">
        <f t="shared" si="50"/>
        <v>0.22443019216541418</v>
      </c>
      <c r="P76" s="2">
        <f t="shared" si="50"/>
        <v>0.19679692926379733</v>
      </c>
      <c r="Q76" s="2">
        <f t="shared" si="50"/>
        <v>0.1656801191363501</v>
      </c>
      <c r="R76" s="2">
        <f t="shared" si="50"/>
        <v>0.1312992370148747</v>
      </c>
      <c r="S76" s="2">
        <f t="shared" si="50"/>
        <v>0.09286284130098757</v>
      </c>
      <c r="T76" s="2">
        <f t="shared" si="50"/>
        <v>0.04830000917532001</v>
      </c>
      <c r="U76" s="2">
        <f t="shared" si="50"/>
        <v>-0.006121693082757504</v>
      </c>
      <c r="V76" s="2">
        <f t="shared" si="50"/>
        <v>-0.07606502186578502</v>
      </c>
      <c r="W76" s="2">
        <f t="shared" si="50"/>
        <v>-0.16831590326909923</v>
      </c>
      <c r="X76" s="2">
        <f t="shared" si="50"/>
        <v>-0.28581258909959273</v>
      </c>
      <c r="Y76" s="2">
        <f t="shared" si="50"/>
        <v>-0.41334292886074886</v>
      </c>
      <c r="Z76" s="2">
        <f t="shared" si="50"/>
        <v>-0.5013935153573769</v>
      </c>
    </row>
    <row r="77" spans="1:26" ht="15.75">
      <c r="A77" s="57" t="s">
        <v>40</v>
      </c>
      <c r="B77" s="2">
        <f>B73+B75*$D$6*SIN(B69)-B76*$D$7*SIN(B70)</f>
        <v>0</v>
      </c>
      <c r="C77" s="2">
        <f aca="true" t="shared" si="51" ref="C77:Z77">C73+C75*$D$6*SIN(C69)-C76*$D$7*SIN(C70)</f>
        <v>0</v>
      </c>
      <c r="D77" s="2">
        <f t="shared" si="51"/>
        <v>0</v>
      </c>
      <c r="E77" s="2">
        <f t="shared" si="51"/>
        <v>0</v>
      </c>
      <c r="F77" s="2">
        <f t="shared" si="51"/>
        <v>-2.498001805406602E-16</v>
      </c>
      <c r="G77" s="2">
        <f t="shared" si="51"/>
        <v>0</v>
      </c>
      <c r="H77" s="2">
        <f t="shared" si="51"/>
        <v>0</v>
      </c>
      <c r="I77" s="2">
        <f t="shared" si="51"/>
        <v>0</v>
      </c>
      <c r="J77" s="2">
        <f t="shared" si="51"/>
        <v>0</v>
      </c>
      <c r="K77" s="2">
        <f t="shared" si="51"/>
        <v>0</v>
      </c>
      <c r="L77" s="2">
        <f t="shared" si="51"/>
        <v>0</v>
      </c>
      <c r="M77" s="2">
        <f t="shared" si="51"/>
        <v>0</v>
      </c>
      <c r="N77" s="2">
        <f t="shared" si="51"/>
        <v>0</v>
      </c>
      <c r="O77" s="2">
        <f t="shared" si="51"/>
        <v>0</v>
      </c>
      <c r="P77" s="2">
        <f t="shared" si="51"/>
        <v>0</v>
      </c>
      <c r="Q77" s="2">
        <f t="shared" si="51"/>
        <v>0</v>
      </c>
      <c r="R77" s="2">
        <f t="shared" si="51"/>
        <v>0</v>
      </c>
      <c r="S77" s="2">
        <f t="shared" si="51"/>
        <v>0</v>
      </c>
      <c r="T77" s="2">
        <f t="shared" si="51"/>
        <v>1.1102230246251565E-16</v>
      </c>
      <c r="U77" s="2">
        <f t="shared" si="51"/>
        <v>-4.683753385137379E-17</v>
      </c>
      <c r="V77" s="2">
        <f t="shared" si="51"/>
        <v>0</v>
      </c>
      <c r="W77" s="2">
        <f t="shared" si="51"/>
        <v>0</v>
      </c>
      <c r="X77" s="2">
        <f t="shared" si="51"/>
        <v>0</v>
      </c>
      <c r="Y77" s="2">
        <f t="shared" si="51"/>
        <v>0</v>
      </c>
      <c r="Z77" s="2">
        <f t="shared" si="51"/>
        <v>0</v>
      </c>
    </row>
    <row r="78" spans="1:26" ht="15.75">
      <c r="A78" s="57" t="s">
        <v>41</v>
      </c>
      <c r="B78" s="2">
        <f>B74-B75*$D$6*COS(B69)+B76*$D$7*COS(B70)</f>
        <v>0</v>
      </c>
      <c r="C78" s="2">
        <f aca="true" t="shared" si="52" ref="C78:Z78">C74-C75*$D$6*COS(C69)+C76*$D$7*COS(C70)</f>
        <v>0</v>
      </c>
      <c r="D78" s="2">
        <f t="shared" si="52"/>
        <v>0</v>
      </c>
      <c r="E78" s="2">
        <f t="shared" si="52"/>
        <v>0</v>
      </c>
      <c r="F78" s="2">
        <f t="shared" si="52"/>
        <v>0</v>
      </c>
      <c r="G78" s="2">
        <f t="shared" si="52"/>
        <v>0</v>
      </c>
      <c r="H78" s="2">
        <f t="shared" si="52"/>
        <v>0</v>
      </c>
      <c r="I78" s="2">
        <f t="shared" si="52"/>
        <v>0</v>
      </c>
      <c r="J78" s="2">
        <f t="shared" si="52"/>
        <v>0</v>
      </c>
      <c r="K78" s="2">
        <f t="shared" si="52"/>
        <v>0</v>
      </c>
      <c r="L78" s="2">
        <f t="shared" si="52"/>
        <v>0</v>
      </c>
      <c r="M78" s="2">
        <f t="shared" si="52"/>
        <v>0</v>
      </c>
      <c r="N78" s="2">
        <f t="shared" si="52"/>
        <v>0</v>
      </c>
      <c r="O78" s="2">
        <f t="shared" si="52"/>
        <v>0</v>
      </c>
      <c r="P78" s="2">
        <f t="shared" si="52"/>
        <v>0</v>
      </c>
      <c r="Q78" s="2">
        <f t="shared" si="52"/>
        <v>0</v>
      </c>
      <c r="R78" s="2">
        <f t="shared" si="52"/>
        <v>0</v>
      </c>
      <c r="S78" s="2">
        <f t="shared" si="52"/>
        <v>0</v>
      </c>
      <c r="T78" s="2">
        <f t="shared" si="52"/>
        <v>0</v>
      </c>
      <c r="U78" s="2">
        <f t="shared" si="52"/>
        <v>-3.122502256758253E-17</v>
      </c>
      <c r="V78" s="2">
        <f t="shared" si="52"/>
        <v>0</v>
      </c>
      <c r="W78" s="2">
        <f t="shared" si="52"/>
        <v>0</v>
      </c>
      <c r="X78" s="2">
        <f t="shared" si="52"/>
        <v>0</v>
      </c>
      <c r="Y78" s="2">
        <f t="shared" si="52"/>
        <v>0</v>
      </c>
      <c r="Z78" s="2">
        <f t="shared" si="52"/>
        <v>0</v>
      </c>
    </row>
    <row r="79" spans="1:26" ht="15.75">
      <c r="A79" s="34" t="s">
        <v>29</v>
      </c>
      <c r="B79" s="2">
        <f>((B75)^2)*$D$6*COS(B69)-((B76)^2)*$D$7*COS(B70)-B35</f>
        <v>1.4995772277799861</v>
      </c>
      <c r="C79" s="2">
        <f aca="true" t="shared" si="53" ref="C79:Z79">((C75)^2)*$D$6*COS(C69)-((C76)^2)*$D$7*COS(C70)-C35</f>
        <v>1.4103330782021561</v>
      </c>
      <c r="D79" s="2">
        <f t="shared" si="53"/>
        <v>1.2100731793500632</v>
      </c>
      <c r="E79" s="2">
        <f t="shared" si="53"/>
        <v>0.9350757872556242</v>
      </c>
      <c r="F79" s="2">
        <f t="shared" si="53"/>
        <v>0.6322364007208829</v>
      </c>
      <c r="G79" s="2">
        <f t="shared" si="53"/>
        <v>0.3335105280319674</v>
      </c>
      <c r="H79" s="2">
        <f t="shared" si="53"/>
        <v>0.05830128390016777</v>
      </c>
      <c r="I79" s="2">
        <f t="shared" si="53"/>
        <v>-0.18140982089513338</v>
      </c>
      <c r="J79" s="2">
        <f t="shared" si="53"/>
        <v>-0.3809248744280457</v>
      </c>
      <c r="K79" s="2">
        <f t="shared" si="53"/>
        <v>-0.5392429096824886</v>
      </c>
      <c r="L79" s="2">
        <f t="shared" si="53"/>
        <v>-0.6543381572756827</v>
      </c>
      <c r="M79" s="2">
        <f t="shared" si="53"/>
        <v>-0.7227947703237492</v>
      </c>
      <c r="N79" s="2">
        <f t="shared" si="53"/>
        <v>-0.7428955726098108</v>
      </c>
      <c r="O79" s="2">
        <f t="shared" si="53"/>
        <v>-0.7163666440516367</v>
      </c>
      <c r="P79" s="2">
        <f t="shared" si="53"/>
        <v>-0.6473712014306332</v>
      </c>
      <c r="Q79" s="2">
        <f t="shared" si="53"/>
        <v>-0.5411190353484496</v>
      </c>
      <c r="R79" s="2">
        <f t="shared" si="53"/>
        <v>-0.4029971966506398</v>
      </c>
      <c r="S79" s="2">
        <f t="shared" si="53"/>
        <v>-0.23667300133826355</v>
      </c>
      <c r="T79" s="2">
        <f t="shared" si="53"/>
        <v>-0.041220718379598315</v>
      </c>
      <c r="U79" s="2">
        <f t="shared" si="53"/>
        <v>0.1898792070824909</v>
      </c>
      <c r="V79" s="2">
        <f t="shared" si="53"/>
        <v>0.4652206781842597</v>
      </c>
      <c r="W79" s="2">
        <f t="shared" si="53"/>
        <v>0.7852027130992689</v>
      </c>
      <c r="X79" s="2">
        <f t="shared" si="53"/>
        <v>1.1204381794659275</v>
      </c>
      <c r="Y79" s="2">
        <f t="shared" si="53"/>
        <v>1.3880640514154052</v>
      </c>
      <c r="Z79" s="2">
        <f t="shared" si="53"/>
        <v>1.4894256158974453</v>
      </c>
    </row>
    <row r="80" spans="1:26" ht="15.75">
      <c r="A80" s="34" t="s">
        <v>30</v>
      </c>
      <c r="B80" s="2">
        <f>((B75)^2)*$D$6*SIN(B69)-((B76)^2)*$D$7*SIN(B70)-B36</f>
        <v>0.039669351581397276</v>
      </c>
      <c r="C80" s="2">
        <f aca="true" t="shared" si="54" ref="C80:Z80">((C75)^2)*$D$6*SIN(C69)-((C76)^2)*$D$7*SIN(C70)-C36</f>
        <v>0.662388851906945</v>
      </c>
      <c r="D80" s="2">
        <f t="shared" si="54"/>
        <v>1.1547776873013058</v>
      </c>
      <c r="E80" s="2">
        <f t="shared" si="54"/>
        <v>1.331227127487567</v>
      </c>
      <c r="F80" s="2">
        <f t="shared" si="54"/>
        <v>1.2835558073306887</v>
      </c>
      <c r="G80" s="2">
        <f t="shared" si="54"/>
        <v>1.1430593024580418</v>
      </c>
      <c r="H80" s="2">
        <f t="shared" si="54"/>
        <v>0.9746177862327842</v>
      </c>
      <c r="I80" s="2">
        <f t="shared" si="54"/>
        <v>0.8015651855745682</v>
      </c>
      <c r="J80" s="2">
        <f t="shared" si="54"/>
        <v>0.6313969628655745</v>
      </c>
      <c r="K80" s="2">
        <f t="shared" si="54"/>
        <v>0.4647690336628747</v>
      </c>
      <c r="L80" s="2">
        <f t="shared" si="54"/>
        <v>0.30069538186492023</v>
      </c>
      <c r="M80" s="2">
        <f t="shared" si="54"/>
        <v>0.14066514136494926</v>
      </c>
      <c r="N80" s="2">
        <f t="shared" si="54"/>
        <v>-0.010994688065096007</v>
      </c>
      <c r="O80" s="2">
        <f t="shared" si="54"/>
        <v>-0.14963554033133974</v>
      </c>
      <c r="P80" s="2">
        <f t="shared" si="54"/>
        <v>-0.2719846757946982</v>
      </c>
      <c r="Q80" s="2">
        <f t="shared" si="54"/>
        <v>-0.37611787831665033</v>
      </c>
      <c r="R80" s="2">
        <f t="shared" si="54"/>
        <v>-0.4617405976804636</v>
      </c>
      <c r="S80" s="2">
        <f t="shared" si="54"/>
        <v>-0.5311473270863583</v>
      </c>
      <c r="T80" s="2">
        <f t="shared" si="54"/>
        <v>-0.5888010286159864</v>
      </c>
      <c r="U80" s="2">
        <f t="shared" si="54"/>
        <v>-0.6386811489080916</v>
      </c>
      <c r="V80" s="2">
        <f t="shared" si="54"/>
        <v>-0.6802945422947585</v>
      </c>
      <c r="W80" s="2">
        <f t="shared" si="54"/>
        <v>-0.7011256680750569</v>
      </c>
      <c r="X80" s="2">
        <f t="shared" si="54"/>
        <v>-0.6575778047596796</v>
      </c>
      <c r="Y80" s="2">
        <f t="shared" si="54"/>
        <v>-0.4504378823155263</v>
      </c>
      <c r="Z80" s="2">
        <f t="shared" si="54"/>
        <v>0.022554377152694628</v>
      </c>
    </row>
    <row r="81" spans="1:26" ht="15.75">
      <c r="A81" s="34" t="s">
        <v>31</v>
      </c>
      <c r="B81" s="2">
        <f>$D$7*(B79*COS(B70)+B80*SIN(B70))/($D$6*$D$7*SIN(B70-B69))</f>
        <v>-0.6831600367941524</v>
      </c>
      <c r="C81" s="2">
        <f aca="true" t="shared" si="55" ref="C81:Z81">$D$7*(C79*COS(C70)+C80*SIN(C70))/($D$6*$D$7*SIN(C70-C69))</f>
        <v>-0.1831410341738931</v>
      </c>
      <c r="D81" s="2">
        <f t="shared" si="55"/>
        <v>0.263937506974384</v>
      </c>
      <c r="E81" s="2">
        <f t="shared" si="55"/>
        <v>0.45903404408420895</v>
      </c>
      <c r="F81" s="2">
        <f t="shared" si="55"/>
        <v>0.47509677276947626</v>
      </c>
      <c r="G81" s="2">
        <f t="shared" si="55"/>
        <v>0.4263513707182663</v>
      </c>
      <c r="H81" s="2">
        <f t="shared" si="55"/>
        <v>0.3686383914562288</v>
      </c>
      <c r="I81" s="2">
        <f t="shared" si="55"/>
        <v>0.31985458414194623</v>
      </c>
      <c r="J81" s="2">
        <f t="shared" si="55"/>
        <v>0.28308990913873805</v>
      </c>
      <c r="K81" s="2">
        <f t="shared" si="55"/>
        <v>0.2559085301805346</v>
      </c>
      <c r="L81" s="2">
        <f t="shared" si="55"/>
        <v>0.23399407832408076</v>
      </c>
      <c r="M81" s="2">
        <f t="shared" si="55"/>
        <v>0.21312175735198002</v>
      </c>
      <c r="N81" s="2">
        <f t="shared" si="55"/>
        <v>0.1900696384562341</v>
      </c>
      <c r="O81" s="2">
        <f t="shared" si="55"/>
        <v>0.1625818368524719</v>
      </c>
      <c r="P81" s="2">
        <f t="shared" si="55"/>
        <v>0.12895970922602096</v>
      </c>
      <c r="Q81" s="2">
        <f t="shared" si="55"/>
        <v>0.08773923197783147</v>
      </c>
      <c r="R81" s="2">
        <f t="shared" si="55"/>
        <v>0.037171155338983984</v>
      </c>
      <c r="S81" s="2">
        <f t="shared" si="55"/>
        <v>-0.025988808910371374</v>
      </c>
      <c r="T81" s="2">
        <f t="shared" si="55"/>
        <v>-0.10815644386377292</v>
      </c>
      <c r="U81" s="2">
        <f t="shared" si="55"/>
        <v>-0.22006549001749623</v>
      </c>
      <c r="V81" s="2">
        <f t="shared" si="55"/>
        <v>-0.37549333392987055</v>
      </c>
      <c r="W81" s="2">
        <f t="shared" si="55"/>
        <v>-0.581536114000348</v>
      </c>
      <c r="X81" s="2">
        <f t="shared" si="55"/>
        <v>-0.8042457447248627</v>
      </c>
      <c r="Y81" s="2">
        <f t="shared" si="55"/>
        <v>-0.9062769454467616</v>
      </c>
      <c r="Z81" s="2">
        <f t="shared" si="55"/>
        <v>-0.6870267808917118</v>
      </c>
    </row>
    <row r="82" spans="1:26" ht="15.75">
      <c r="A82" s="34" t="s">
        <v>32</v>
      </c>
      <c r="B82" s="2">
        <f>$D$6*(B79*COS(B69)+B80*SIN(B69))/($D$6*$D$7*SIN(B70-B69))</f>
        <v>-0.1670610182865915</v>
      </c>
      <c r="C82" s="2">
        <f aca="true" t="shared" si="56" ref="C82:Z82">$D$6*(C79*COS(C69)+C80*SIN(C69))/($D$6*$D$7*SIN(C70-C69))</f>
        <v>0.2645465311134492</v>
      </c>
      <c r="D82" s="2">
        <f t="shared" si="56"/>
        <v>0.5702183984039574</v>
      </c>
      <c r="E82" s="2">
        <f t="shared" si="56"/>
        <v>0.6249406871234549</v>
      </c>
      <c r="F82" s="2">
        <f t="shared" si="56"/>
        <v>0.5336264241193214</v>
      </c>
      <c r="G82" s="2">
        <f t="shared" si="56"/>
        <v>0.4046899909005108</v>
      </c>
      <c r="H82" s="2">
        <f t="shared" si="56"/>
        <v>0.2837693349599849</v>
      </c>
      <c r="I82" s="2">
        <f t="shared" si="56"/>
        <v>0.18301674218464178</v>
      </c>
      <c r="J82" s="2">
        <f t="shared" si="56"/>
        <v>0.10261972997156585</v>
      </c>
      <c r="K82" s="2">
        <f t="shared" si="56"/>
        <v>0.039212350806937656</v>
      </c>
      <c r="L82" s="2">
        <f t="shared" si="56"/>
        <v>-0.010527623021672936</v>
      </c>
      <c r="M82" s="2">
        <f t="shared" si="56"/>
        <v>-0.04876340372854958</v>
      </c>
      <c r="N82" s="2">
        <f t="shared" si="56"/>
        <v>-0.07706726111889763</v>
      </c>
      <c r="O82" s="2">
        <f t="shared" si="56"/>
        <v>-0.09733247334694596</v>
      </c>
      <c r="P82" s="2">
        <f t="shared" si="56"/>
        <v>-0.11206512836375973</v>
      </c>
      <c r="Q82" s="2">
        <f t="shared" si="56"/>
        <v>-0.12422873432888418</v>
      </c>
      <c r="R82" s="2">
        <f t="shared" si="56"/>
        <v>-0.13726837973119604</v>
      </c>
      <c r="S82" s="2">
        <f t="shared" si="56"/>
        <v>-0.15548306745814325</v>
      </c>
      <c r="T82" s="2">
        <f t="shared" si="56"/>
        <v>-0.1844704843745882</v>
      </c>
      <c r="U82" s="2">
        <f t="shared" si="56"/>
        <v>-0.23124969531815448</v>
      </c>
      <c r="V82" s="2">
        <f t="shared" si="56"/>
        <v>-0.3028400677031749</v>
      </c>
      <c r="W82" s="2">
        <f t="shared" si="56"/>
        <v>-0.39847789649652454</v>
      </c>
      <c r="X82" s="2">
        <f t="shared" si="56"/>
        <v>-0.48410361330759744</v>
      </c>
      <c r="Y82" s="2">
        <f t="shared" si="56"/>
        <v>-0.4524355447852909</v>
      </c>
      <c r="Z82" s="2">
        <f t="shared" si="56"/>
        <v>-0.17437097009732766</v>
      </c>
    </row>
    <row r="83" spans="1:26" ht="15.75">
      <c r="A83" s="57" t="s">
        <v>40</v>
      </c>
      <c r="B83" s="2">
        <f>B79+B81*$D$6*SIN(B69)-B82*$D$7*SIN(B70)</f>
        <v>5.551115123125783E-16</v>
      </c>
      <c r="C83" s="2">
        <f aca="true" t="shared" si="57" ref="C83:Z83">C79+C81*$D$6*SIN(C69)-C82*$D$7*SIN(C70)</f>
        <v>0</v>
      </c>
      <c r="D83" s="2">
        <f t="shared" si="57"/>
        <v>0</v>
      </c>
      <c r="E83" s="2">
        <f t="shared" si="57"/>
        <v>0</v>
      </c>
      <c r="F83" s="2">
        <f t="shared" si="57"/>
        <v>0</v>
      </c>
      <c r="G83" s="2">
        <f t="shared" si="57"/>
        <v>0</v>
      </c>
      <c r="H83" s="2">
        <f t="shared" si="57"/>
        <v>0</v>
      </c>
      <c r="I83" s="2">
        <f t="shared" si="57"/>
        <v>0</v>
      </c>
      <c r="J83" s="2">
        <f t="shared" si="57"/>
        <v>0</v>
      </c>
      <c r="K83" s="2">
        <f t="shared" si="57"/>
        <v>0</v>
      </c>
      <c r="L83" s="2">
        <f t="shared" si="57"/>
        <v>-9.020562075079397E-17</v>
      </c>
      <c r="M83" s="2">
        <f t="shared" si="57"/>
        <v>0</v>
      </c>
      <c r="N83" s="2">
        <f t="shared" si="57"/>
        <v>0</v>
      </c>
      <c r="O83" s="2">
        <f t="shared" si="57"/>
        <v>0</v>
      </c>
      <c r="P83" s="2">
        <f t="shared" si="57"/>
        <v>0</v>
      </c>
      <c r="Q83" s="2">
        <f t="shared" si="57"/>
        <v>0</v>
      </c>
      <c r="R83" s="2">
        <f t="shared" si="57"/>
        <v>0</v>
      </c>
      <c r="S83" s="2">
        <f t="shared" si="57"/>
        <v>0</v>
      </c>
      <c r="T83" s="2">
        <f t="shared" si="57"/>
        <v>0</v>
      </c>
      <c r="U83" s="2">
        <f t="shared" si="57"/>
        <v>0</v>
      </c>
      <c r="V83" s="2">
        <f t="shared" si="57"/>
        <v>0</v>
      </c>
      <c r="W83" s="2">
        <f t="shared" si="57"/>
        <v>0</v>
      </c>
      <c r="X83" s="2">
        <f t="shared" si="57"/>
        <v>0</v>
      </c>
      <c r="Y83" s="2">
        <f t="shared" si="57"/>
        <v>0</v>
      </c>
      <c r="Z83" s="2">
        <f t="shared" si="57"/>
        <v>0</v>
      </c>
    </row>
    <row r="84" spans="1:26" ht="16.5" thickBot="1">
      <c r="A84" s="46" t="s">
        <v>41</v>
      </c>
      <c r="B84" s="13">
        <f>B80-B81*$D$6*COS(B69)+B82*$D$7*COS(B70)</f>
        <v>0</v>
      </c>
      <c r="C84" s="13">
        <f aca="true" t="shared" si="58" ref="C84:Z84">C80-C81*$D$6*COS(C69)+C82*$D$7*COS(C70)</f>
        <v>0</v>
      </c>
      <c r="D84" s="13">
        <f t="shared" si="58"/>
        <v>0</v>
      </c>
      <c r="E84" s="13">
        <f t="shared" si="58"/>
        <v>0</v>
      </c>
      <c r="F84" s="13">
        <f t="shared" si="58"/>
        <v>0</v>
      </c>
      <c r="G84" s="13">
        <f t="shared" si="58"/>
        <v>0</v>
      </c>
      <c r="H84" s="13">
        <f t="shared" si="58"/>
        <v>0</v>
      </c>
      <c r="I84" s="13">
        <f t="shared" si="58"/>
        <v>0</v>
      </c>
      <c r="J84" s="13">
        <f t="shared" si="58"/>
        <v>0</v>
      </c>
      <c r="K84" s="13">
        <f t="shared" si="58"/>
        <v>0</v>
      </c>
      <c r="L84" s="13">
        <f t="shared" si="58"/>
        <v>5.204170427930421E-17</v>
      </c>
      <c r="M84" s="13">
        <f t="shared" si="58"/>
        <v>0</v>
      </c>
      <c r="N84" s="13">
        <f t="shared" si="58"/>
        <v>0</v>
      </c>
      <c r="O84" s="13">
        <f t="shared" si="58"/>
        <v>0</v>
      </c>
      <c r="P84" s="13">
        <f t="shared" si="58"/>
        <v>0</v>
      </c>
      <c r="Q84" s="13">
        <f t="shared" si="58"/>
        <v>0</v>
      </c>
      <c r="R84" s="13">
        <f t="shared" si="58"/>
        <v>0</v>
      </c>
      <c r="S84" s="13">
        <f t="shared" si="58"/>
        <v>0</v>
      </c>
      <c r="T84" s="13">
        <f t="shared" si="58"/>
        <v>0</v>
      </c>
      <c r="U84" s="13">
        <f t="shared" si="58"/>
        <v>0</v>
      </c>
      <c r="V84" s="13">
        <f t="shared" si="58"/>
        <v>0</v>
      </c>
      <c r="W84" s="13">
        <f t="shared" si="58"/>
        <v>0</v>
      </c>
      <c r="X84" s="13">
        <f t="shared" si="58"/>
        <v>0</v>
      </c>
      <c r="Y84" s="13">
        <f t="shared" si="58"/>
        <v>0</v>
      </c>
      <c r="Z84" s="13">
        <f t="shared" si="58"/>
        <v>0</v>
      </c>
    </row>
    <row r="85" ht="15.75" thickBot="1"/>
    <row r="86" spans="1:2" ht="16.5" thickBot="1">
      <c r="A86" s="44" t="s">
        <v>33</v>
      </c>
      <c r="B86" s="20"/>
    </row>
    <row r="87" spans="1:26" ht="15.75">
      <c r="A87" s="58" t="s">
        <v>34</v>
      </c>
      <c r="B87" s="17">
        <f>B31+($F$6-$F$5)*COS(B71)-($G$6-$G$5)*SIN(B71)</f>
        <v>0.2755354625196478</v>
      </c>
      <c r="C87" s="17">
        <f aca="true" t="shared" si="59" ref="C87:Z87">C31+($F$6-$F$5)*COS(C71)-($G$6-$G$5)*SIN(C71)</f>
        <v>0.6864099572255531</v>
      </c>
      <c r="D87" s="17">
        <f t="shared" si="59"/>
        <v>1.0762633802085748</v>
      </c>
      <c r="E87" s="17">
        <f t="shared" si="59"/>
        <v>1.354515338972281</v>
      </c>
      <c r="F87" s="17">
        <f t="shared" si="59"/>
        <v>1.486289035290408</v>
      </c>
      <c r="G87" s="17">
        <f t="shared" si="59"/>
        <v>1.4834263478382004</v>
      </c>
      <c r="H87" s="17">
        <f t="shared" si="59"/>
        <v>1.3771350730395093</v>
      </c>
      <c r="I87" s="17">
        <f t="shared" si="59"/>
        <v>1.2010645947857843</v>
      </c>
      <c r="J87" s="17">
        <f t="shared" si="59"/>
        <v>0.9848479784405808</v>
      </c>
      <c r="K87" s="17">
        <f t="shared" si="59"/>
        <v>0.7524211580857452</v>
      </c>
      <c r="L87" s="17">
        <f t="shared" si="59"/>
        <v>0.521926757303723</v>
      </c>
      <c r="M87" s="17">
        <f t="shared" si="59"/>
        <v>0.3061044844419092</v>
      </c>
      <c r="N87" s="17">
        <f t="shared" si="59"/>
        <v>0.1129248913568317</v>
      </c>
      <c r="O87" s="17">
        <f t="shared" si="59"/>
        <v>-0.05356308585469849</v>
      </c>
      <c r="P87" s="17">
        <f t="shared" si="59"/>
        <v>-0.1922181009364199</v>
      </c>
      <c r="Q87" s="17">
        <f t="shared" si="59"/>
        <v>-0.3037273431584673</v>
      </c>
      <c r="R87" s="17">
        <f t="shared" si="59"/>
        <v>-0.38956989975664547</v>
      </c>
      <c r="S87" s="17">
        <f t="shared" si="59"/>
        <v>-0.45106913195232945</v>
      </c>
      <c r="T87" s="17">
        <f t="shared" si="59"/>
        <v>-0.4884706072411501</v>
      </c>
      <c r="U87" s="17">
        <f t="shared" si="59"/>
        <v>-0.4998417481029292</v>
      </c>
      <c r="V87" s="17">
        <f t="shared" si="59"/>
        <v>-0.47943194814231854</v>
      </c>
      <c r="W87" s="17">
        <f t="shared" si="59"/>
        <v>-0.4150917140783604</v>
      </c>
      <c r="X87" s="17">
        <f t="shared" si="59"/>
        <v>-0.2852603530796083</v>
      </c>
      <c r="Y87" s="17">
        <f t="shared" si="59"/>
        <v>-0.06062052737099444</v>
      </c>
      <c r="Z87" s="17">
        <f t="shared" si="59"/>
        <v>0.2755354625196478</v>
      </c>
    </row>
    <row r="88" spans="1:26" ht="15.75">
      <c r="A88" s="59" t="s">
        <v>35</v>
      </c>
      <c r="B88" s="2">
        <f>B32+($F$6-$F$5)*SIN(B71)+($G$6-$G$5)*COS(B71)</f>
        <v>2.9287015867124406</v>
      </c>
      <c r="C88" s="2">
        <f aca="true" t="shared" si="60" ref="C88:Z88">C32+($F$6-$F$5)*SIN(C71)+($G$6-$G$5)*COS(C71)</f>
        <v>3.263020244187114</v>
      </c>
      <c r="D88" s="2">
        <f t="shared" si="60"/>
        <v>3.5070268629814425</v>
      </c>
      <c r="E88" s="2">
        <f t="shared" si="60"/>
        <v>3.6458716694807687</v>
      </c>
      <c r="F88" s="2">
        <f t="shared" si="60"/>
        <v>3.702523344331262</v>
      </c>
      <c r="G88" s="2">
        <f t="shared" si="60"/>
        <v>3.701351693309975</v>
      </c>
      <c r="H88" s="2">
        <f t="shared" si="60"/>
        <v>3.655996366087024</v>
      </c>
      <c r="I88" s="2">
        <f t="shared" si="60"/>
        <v>3.5726504737892797</v>
      </c>
      <c r="J88" s="2">
        <f t="shared" si="60"/>
        <v>3.4553092958525418</v>
      </c>
      <c r="K88" s="2">
        <f t="shared" si="60"/>
        <v>3.3088350441476173</v>
      </c>
      <c r="L88" s="2">
        <f t="shared" si="60"/>
        <v>3.1399288214596126</v>
      </c>
      <c r="M88" s="2">
        <f t="shared" si="60"/>
        <v>2.956844086396171</v>
      </c>
      <c r="N88" s="2">
        <f t="shared" si="60"/>
        <v>2.7685370355212946</v>
      </c>
      <c r="O88" s="2">
        <f t="shared" si="60"/>
        <v>2.5837477587228843</v>
      </c>
      <c r="P88" s="2">
        <f t="shared" si="60"/>
        <v>2.4103409709113524</v>
      </c>
      <c r="Q88" s="2">
        <f t="shared" si="60"/>
        <v>2.2550799635638397</v>
      </c>
      <c r="R88" s="2">
        <f t="shared" si="60"/>
        <v>2.123868144368601</v>
      </c>
      <c r="S88" s="2">
        <f t="shared" si="60"/>
        <v>2.0224049659961265</v>
      </c>
      <c r="T88" s="2">
        <f t="shared" si="60"/>
        <v>1.9571849228968032</v>
      </c>
      <c r="U88" s="2">
        <f t="shared" si="60"/>
        <v>1.936777668767334</v>
      </c>
      <c r="V88" s="2">
        <f t="shared" si="60"/>
        <v>1.973208888649793</v>
      </c>
      <c r="W88" s="2">
        <f t="shared" si="60"/>
        <v>2.0825821915192995</v>
      </c>
      <c r="X88" s="2">
        <f>X32+($F$6-$F$5)*SIN(X71)+($G$6-$G$5)*COS(X71)</f>
        <v>2.2818992993739324</v>
      </c>
      <c r="Y88" s="2">
        <f t="shared" si="60"/>
        <v>2.5753838524451647</v>
      </c>
      <c r="Z88" s="2">
        <f t="shared" si="60"/>
        <v>2.9287015867124406</v>
      </c>
    </row>
    <row r="89" spans="1:26" ht="15.75">
      <c r="A89" s="59" t="s">
        <v>36</v>
      </c>
      <c r="B89" s="11">
        <f>B33-B75*(B88-B32)</f>
        <v>1.4735731506894545</v>
      </c>
      <c r="C89" s="11">
        <f>C33-C75*(C88-C32)</f>
        <v>1.598986909649526</v>
      </c>
      <c r="D89" s="11">
        <f>D33-D75*(D88-D32)</f>
        <v>1.3201145986133382</v>
      </c>
      <c r="E89" s="11">
        <f aca="true" t="shared" si="61" ref="E89:Z89">E33-E75*(E88-E32)</f>
        <v>0.7860343508387848</v>
      </c>
      <c r="F89" s="11">
        <f t="shared" si="61"/>
        <v>0.22847920633054175</v>
      </c>
      <c r="G89" s="11">
        <f t="shared" si="61"/>
        <v>-0.22905942585987382</v>
      </c>
      <c r="H89" s="11">
        <f t="shared" si="61"/>
        <v>-0.5562730218280045</v>
      </c>
      <c r="I89" s="11">
        <f t="shared" si="61"/>
        <v>-0.7615271364547891</v>
      </c>
      <c r="J89" s="11">
        <f t="shared" si="61"/>
        <v>-0.8649765607453291</v>
      </c>
      <c r="K89" s="11">
        <f t="shared" si="61"/>
        <v>-0.8889484864635991</v>
      </c>
      <c r="L89" s="11">
        <f t="shared" si="61"/>
        <v>-0.8546537278940052</v>
      </c>
      <c r="M89" s="11">
        <f t="shared" si="61"/>
        <v>-0.7812230413180267</v>
      </c>
      <c r="N89" s="11">
        <f t="shared" si="61"/>
        <v>-0.6852193920157794</v>
      </c>
      <c r="O89" s="11">
        <f t="shared" si="61"/>
        <v>-0.5798710059971353</v>
      </c>
      <c r="P89" s="11">
        <f t="shared" si="61"/>
        <v>-0.4743477015540738</v>
      </c>
      <c r="Q89" s="11">
        <f t="shared" si="61"/>
        <v>-0.37362191702525316</v>
      </c>
      <c r="R89" s="11">
        <f t="shared" si="61"/>
        <v>-0.27886226687579485</v>
      </c>
      <c r="S89" s="11">
        <f t="shared" si="61"/>
        <v>-0.1878062714036276</v>
      </c>
      <c r="T89" s="11">
        <f t="shared" si="61"/>
        <v>-0.09453204973371343</v>
      </c>
      <c r="U89" s="11">
        <f t="shared" si="61"/>
        <v>0.011856358457732474</v>
      </c>
      <c r="V89" s="11">
        <f t="shared" si="61"/>
        <v>0.15009217726090796</v>
      </c>
      <c r="W89" s="11">
        <f t="shared" si="61"/>
        <v>0.35053170269771117</v>
      </c>
      <c r="X89" s="11">
        <f t="shared" si="61"/>
        <v>0.6521955468186106</v>
      </c>
      <c r="Y89" s="11">
        <f t="shared" si="61"/>
        <v>1.064516704510363</v>
      </c>
      <c r="Z89" s="11">
        <f t="shared" si="61"/>
        <v>1.468431983994478</v>
      </c>
    </row>
    <row r="90" spans="1:26" ht="15.75">
      <c r="A90" s="59" t="s">
        <v>37</v>
      </c>
      <c r="B90" s="11">
        <f aca="true" t="shared" si="62" ref="B90:Z90">B34+B75*(B87-B31)</f>
        <v>1.3708114922501318</v>
      </c>
      <c r="C90" s="11">
        <f>C34+C75*(C87-C31)</f>
        <v>1.133734980431733</v>
      </c>
      <c r="D90" s="11">
        <f>D34+D75*(D87-D31)</f>
        <v>0.7241326898519322</v>
      </c>
      <c r="E90" s="11">
        <f t="shared" si="62"/>
        <v>0.3547594607273448</v>
      </c>
      <c r="F90" s="11">
        <f t="shared" si="62"/>
        <v>0.0934096689384013</v>
      </c>
      <c r="G90" s="11">
        <f t="shared" si="62"/>
        <v>-0.09385368341686554</v>
      </c>
      <c r="H90" s="11">
        <f t="shared" si="62"/>
        <v>-0.2469247467839271</v>
      </c>
      <c r="I90" s="11">
        <f t="shared" si="62"/>
        <v>-0.38345148450721855</v>
      </c>
      <c r="J90" s="11">
        <f t="shared" si="62"/>
        <v>-0.5044582454831706</v>
      </c>
      <c r="K90" s="11">
        <f t="shared" si="62"/>
        <v>-0.6038324011531321</v>
      </c>
      <c r="L90" s="11">
        <f t="shared" si="62"/>
        <v>-0.6745039952466964</v>
      </c>
      <c r="M90" s="11">
        <f t="shared" si="62"/>
        <v>-0.7117498204723771</v>
      </c>
      <c r="N90" s="11">
        <f t="shared" si="62"/>
        <v>-0.7145578423789687</v>
      </c>
      <c r="O90" s="11">
        <f t="shared" si="62"/>
        <v>-0.6853117501475849</v>
      </c>
      <c r="P90" s="11">
        <f t="shared" si="62"/>
        <v>-0.6282187198045981</v>
      </c>
      <c r="Q90" s="11">
        <f t="shared" si="62"/>
        <v>-0.5473619398085122</v>
      </c>
      <c r="R90" s="11">
        <f t="shared" si="62"/>
        <v>-0.4450479416466329</v>
      </c>
      <c r="S90" s="11">
        <f t="shared" si="62"/>
        <v>-0.32047608511922604</v>
      </c>
      <c r="T90" s="11">
        <f t="shared" si="62"/>
        <v>-0.16849316233758174</v>
      </c>
      <c r="U90" s="11">
        <f t="shared" si="62"/>
        <v>0.021424957020107716</v>
      </c>
      <c r="V90" s="11">
        <f t="shared" si="62"/>
        <v>0.26466306721595645</v>
      </c>
      <c r="W90" s="11">
        <f t="shared" si="62"/>
        <v>0.5748142466019157</v>
      </c>
      <c r="X90" s="11">
        <f t="shared" si="62"/>
        <v>0.9389687673799247</v>
      </c>
      <c r="Y90" s="11">
        <f t="shared" si="62"/>
        <v>1.2650858529148563</v>
      </c>
      <c r="Z90" s="11">
        <f t="shared" si="62"/>
        <v>1.366028851913784</v>
      </c>
    </row>
    <row r="91" spans="1:26" ht="15.75">
      <c r="A91" s="48" t="s">
        <v>38</v>
      </c>
      <c r="B91" s="11">
        <f>B35-B81*(B88-B32)-(B75)^2*(B87-B31)</f>
        <v>1.1789942428254792</v>
      </c>
      <c r="C91" s="11">
        <f aca="true" t="shared" si="63" ref="C91:Z91">C35-C81*(C88-C32)-(C75)^2*(C87-C31)</f>
        <v>-0.3076533725123788</v>
      </c>
      <c r="D91" s="11">
        <f t="shared" si="63"/>
        <v>-1.72719330742154</v>
      </c>
      <c r="E91" s="11">
        <f t="shared" si="63"/>
        <v>-2.201968922666595</v>
      </c>
      <c r="F91" s="11">
        <f t="shared" si="63"/>
        <v>-1.9700000703172103</v>
      </c>
      <c r="G91" s="11">
        <f t="shared" si="63"/>
        <v>-1.4920918155238354</v>
      </c>
      <c r="H91" s="11">
        <f t="shared" si="63"/>
        <v>-0.9998891673808382</v>
      </c>
      <c r="I91" s="11">
        <f t="shared" si="63"/>
        <v>-0.5721203756402571</v>
      </c>
      <c r="J91" s="11">
        <f t="shared" si="63"/>
        <v>-0.22830056259247572</v>
      </c>
      <c r="K91" s="11">
        <f t="shared" si="63"/>
        <v>0.032477839998106516</v>
      </c>
      <c r="L91" s="11">
        <f t="shared" si="63"/>
        <v>0.21664847798623424</v>
      </c>
      <c r="M91" s="11">
        <f t="shared" si="63"/>
        <v>0.33223606230033775</v>
      </c>
      <c r="N91" s="11">
        <f t="shared" si="63"/>
        <v>0.3902183040034203</v>
      </c>
      <c r="O91" s="11">
        <f t="shared" si="63"/>
        <v>0.4052872076399655</v>
      </c>
      <c r="P91" s="11">
        <f t="shared" si="63"/>
        <v>0.3937466852691887</v>
      </c>
      <c r="Q91" s="11">
        <f t="shared" si="63"/>
        <v>0.3708327210821402</v>
      </c>
      <c r="R91" s="11">
        <f t="shared" si="63"/>
        <v>0.34997439411342307</v>
      </c>
      <c r="S91" s="11">
        <f t="shared" si="63"/>
        <v>0.3442100475888484</v>
      </c>
      <c r="T91" s="11">
        <f t="shared" si="63"/>
        <v>0.369181072024298</v>
      </c>
      <c r="U91" s="11">
        <f t="shared" si="63"/>
        <v>0.44801040281264043</v>
      </c>
      <c r="V91" s="11">
        <f t="shared" si="63"/>
        <v>0.617698315426057</v>
      </c>
      <c r="W91" s="11">
        <f t="shared" si="63"/>
        <v>0.9266133500864805</v>
      </c>
      <c r="X91" s="11">
        <f t="shared" si="63"/>
        <v>1.3730447905195058</v>
      </c>
      <c r="Y91" s="11">
        <f t="shared" si="63"/>
        <v>1.6881094880163943</v>
      </c>
      <c r="Z91" s="11">
        <f t="shared" si="63"/>
        <v>1.1955985449412845</v>
      </c>
    </row>
    <row r="92" spans="1:26" ht="15.75">
      <c r="A92" s="48" t="s">
        <v>39</v>
      </c>
      <c r="B92" s="11">
        <f>B36+B81*(B87-B31)-(B75)^2*(B88-B32)</f>
        <v>-0.28627497490705595</v>
      </c>
      <c r="C92" s="11">
        <f aca="true" t="shared" si="64" ref="C92:Z92">C36+C81*(C87-C31)-(C75)^2*(C88-C32)</f>
        <v>-1.3956082345698624</v>
      </c>
      <c r="D92" s="11">
        <f t="shared" si="64"/>
        <v>-1.5938673809238257</v>
      </c>
      <c r="E92" s="11">
        <f t="shared" si="64"/>
        <v>-1.197795961535764</v>
      </c>
      <c r="F92" s="11">
        <f t="shared" si="64"/>
        <v>-0.821855404518469</v>
      </c>
      <c r="G92" s="11">
        <f t="shared" si="64"/>
        <v>-0.6279175990481165</v>
      </c>
      <c r="H92" s="11">
        <f t="shared" si="64"/>
        <v>-0.5451582459069146</v>
      </c>
      <c r="I92" s="11">
        <f t="shared" si="64"/>
        <v>-0.49155836351628407</v>
      </c>
      <c r="J92" s="11">
        <f t="shared" si="64"/>
        <v>-0.42332618792241994</v>
      </c>
      <c r="K92" s="11">
        <f t="shared" si="64"/>
        <v>-0.3269569077403653</v>
      </c>
      <c r="L92" s="11">
        <f t="shared" si="64"/>
        <v>-0.20653902515434988</v>
      </c>
      <c r="M92" s="11">
        <f t="shared" si="64"/>
        <v>-0.07504217415857355</v>
      </c>
      <c r="N92" s="11">
        <f t="shared" si="64"/>
        <v>0.05290556898686624</v>
      </c>
      <c r="O92" s="11">
        <f t="shared" si="64"/>
        <v>0.16707028636008125</v>
      </c>
      <c r="P92" s="11">
        <f t="shared" si="64"/>
        <v>0.2643861601773754</v>
      </c>
      <c r="Q92" s="11">
        <f t="shared" si="64"/>
        <v>0.3485161426836081</v>
      </c>
      <c r="R92" s="11">
        <f t="shared" si="64"/>
        <v>0.42866636525219715</v>
      </c>
      <c r="S92" s="11">
        <f t="shared" si="64"/>
        <v>0.5191425906693745</v>
      </c>
      <c r="T92" s="11">
        <f t="shared" si="64"/>
        <v>0.6389539637747885</v>
      </c>
      <c r="U92" s="11">
        <f t="shared" si="64"/>
        <v>0.8092647569230023</v>
      </c>
      <c r="V92" s="11">
        <f t="shared" si="64"/>
        <v>1.042294641998775</v>
      </c>
      <c r="W92" s="11">
        <f t="shared" si="64"/>
        <v>1.3018385024046348</v>
      </c>
      <c r="X92" s="11">
        <f t="shared" si="64"/>
        <v>1.4040007097465794</v>
      </c>
      <c r="Y92" s="11">
        <f t="shared" si="64"/>
        <v>0.9447230632186344</v>
      </c>
      <c r="Z92" s="11">
        <f t="shared" si="64"/>
        <v>-0.26119475012198284</v>
      </c>
    </row>
    <row r="93" spans="1:26" ht="16.5" thickBot="1">
      <c r="A93" s="46" t="s">
        <v>43</v>
      </c>
      <c r="B93" s="13">
        <f>(B87-B31)^2+(B88-B32)^2-($D$6)^2</f>
        <v>0</v>
      </c>
      <c r="C93" s="13">
        <f aca="true" t="shared" si="65" ref="C93:Z93">(C87-C31)^2+(C88-C32)^2-($D$6)^2</f>
        <v>0</v>
      </c>
      <c r="D93" s="13">
        <f t="shared" si="65"/>
        <v>0</v>
      </c>
      <c r="E93" s="13">
        <f t="shared" si="65"/>
        <v>0</v>
      </c>
      <c r="F93" s="13">
        <f t="shared" si="65"/>
        <v>0</v>
      </c>
      <c r="G93" s="13">
        <f t="shared" si="65"/>
        <v>0</v>
      </c>
      <c r="H93" s="13">
        <f t="shared" si="65"/>
        <v>0</v>
      </c>
      <c r="I93" s="13">
        <f t="shared" si="65"/>
        <v>0</v>
      </c>
      <c r="J93" s="13">
        <f t="shared" si="65"/>
        <v>0</v>
      </c>
      <c r="K93" s="13">
        <f t="shared" si="65"/>
        <v>0</v>
      </c>
      <c r="L93" s="13">
        <f t="shared" si="65"/>
        <v>0</v>
      </c>
      <c r="M93" s="13">
        <f t="shared" si="65"/>
        <v>0</v>
      </c>
      <c r="N93" s="13">
        <f t="shared" si="65"/>
        <v>0</v>
      </c>
      <c r="O93" s="13">
        <f t="shared" si="65"/>
        <v>0</v>
      </c>
      <c r="P93" s="13">
        <f t="shared" si="65"/>
        <v>0</v>
      </c>
      <c r="Q93" s="13">
        <f t="shared" si="65"/>
        <v>0</v>
      </c>
      <c r="R93" s="13">
        <f t="shared" si="65"/>
        <v>0</v>
      </c>
      <c r="S93" s="13">
        <f t="shared" si="65"/>
        <v>0</v>
      </c>
      <c r="T93" s="13">
        <f t="shared" si="65"/>
        <v>0</v>
      </c>
      <c r="U93" s="13">
        <f t="shared" si="65"/>
        <v>0</v>
      </c>
      <c r="V93" s="13">
        <f t="shared" si="65"/>
        <v>0</v>
      </c>
      <c r="W93" s="13">
        <f t="shared" si="65"/>
        <v>0</v>
      </c>
      <c r="X93" s="13">
        <f t="shared" si="65"/>
        <v>0</v>
      </c>
      <c r="Y93" s="13">
        <f t="shared" si="65"/>
        <v>0</v>
      </c>
      <c r="Z93" s="13">
        <f t="shared" si="65"/>
        <v>0</v>
      </c>
    </row>
    <row r="94" ht="15.75" thickBot="1"/>
    <row r="95" spans="1:2" ht="16.5" thickBot="1">
      <c r="A95" s="44" t="s">
        <v>280</v>
      </c>
      <c r="B95" s="20"/>
    </row>
    <row r="96" spans="1:26" ht="15.75">
      <c r="A96" s="58" t="s">
        <v>34</v>
      </c>
      <c r="B96" s="23">
        <f>$B$11+($F$6-$B$11)*COS(B72)-($G$6-$B$12)*SIN(B72)</f>
        <v>0.275535462519648</v>
      </c>
      <c r="C96" s="23">
        <f aca="true" t="shared" si="66" ref="C96:Z96">$B$11+($F$6-$B$11)*COS(C72)-($G$6-$B$12)*SIN(C72)</f>
        <v>0.6864099572255544</v>
      </c>
      <c r="D96" s="23">
        <f t="shared" si="66"/>
        <v>1.0762633802085761</v>
      </c>
      <c r="E96" s="23">
        <f t="shared" si="66"/>
        <v>1.3545153389722815</v>
      </c>
      <c r="F96" s="23">
        <f t="shared" si="66"/>
        <v>1.4862890352904077</v>
      </c>
      <c r="G96" s="23">
        <f t="shared" si="66"/>
        <v>1.4834263478382006</v>
      </c>
      <c r="H96" s="23">
        <f t="shared" si="66"/>
        <v>1.377135073039509</v>
      </c>
      <c r="I96" s="23">
        <f t="shared" si="66"/>
        <v>1.2010645947857852</v>
      </c>
      <c r="J96" s="23">
        <f t="shared" si="66"/>
        <v>0.9848479784405818</v>
      </c>
      <c r="K96" s="23">
        <f t="shared" si="66"/>
        <v>0.7524211580857452</v>
      </c>
      <c r="L96" s="23">
        <f t="shared" si="66"/>
        <v>0.5219267573037218</v>
      </c>
      <c r="M96" s="23">
        <f t="shared" si="66"/>
        <v>0.3061044844419094</v>
      </c>
      <c r="N96" s="23">
        <f t="shared" si="66"/>
        <v>0.11292489135683173</v>
      </c>
      <c r="O96" s="23">
        <f t="shared" si="66"/>
        <v>-0.05356308585469699</v>
      </c>
      <c r="P96" s="23">
        <f t="shared" si="66"/>
        <v>-0.19221810093641956</v>
      </c>
      <c r="Q96" s="23">
        <f t="shared" si="66"/>
        <v>-0.30372734315846617</v>
      </c>
      <c r="R96" s="23">
        <f t="shared" si="66"/>
        <v>-0.38956989975664547</v>
      </c>
      <c r="S96" s="23">
        <f t="shared" si="66"/>
        <v>-0.45106913195232845</v>
      </c>
      <c r="T96" s="23">
        <f t="shared" si="66"/>
        <v>-0.48847060724115</v>
      </c>
      <c r="U96" s="23">
        <f t="shared" si="66"/>
        <v>-0.49984174810292836</v>
      </c>
      <c r="V96" s="23">
        <f t="shared" si="66"/>
        <v>-0.47943194814231804</v>
      </c>
      <c r="W96" s="23">
        <f t="shared" si="66"/>
        <v>-0.41509171407835976</v>
      </c>
      <c r="X96" s="23">
        <f t="shared" si="66"/>
        <v>-0.28526035307960795</v>
      </c>
      <c r="Y96" s="23">
        <f t="shared" si="66"/>
        <v>-0.06062052737099377</v>
      </c>
      <c r="Z96" s="23">
        <f t="shared" si="66"/>
        <v>0.275535462519648</v>
      </c>
    </row>
    <row r="97" spans="1:26" ht="15.75">
      <c r="A97" s="59" t="s">
        <v>35</v>
      </c>
      <c r="B97" s="11">
        <f>$B$12+($F$6-$B$11)*SIN(B72)+($G$6-$B$12)*COS(B72)</f>
        <v>2.9287015867124406</v>
      </c>
      <c r="C97" s="11">
        <f aca="true" t="shared" si="67" ref="C97:Z97">$B$12+($F$6-$B$11)*SIN(C72)+($G$6-$B$12)*COS(C72)</f>
        <v>3.2630202441871137</v>
      </c>
      <c r="D97" s="11">
        <f t="shared" si="67"/>
        <v>3.5070268629814434</v>
      </c>
      <c r="E97" s="11">
        <f t="shared" si="67"/>
        <v>3.6458716694807687</v>
      </c>
      <c r="F97" s="11">
        <f t="shared" si="67"/>
        <v>3.7025233443312615</v>
      </c>
      <c r="G97" s="11">
        <f t="shared" si="67"/>
        <v>3.7013516933099746</v>
      </c>
      <c r="H97" s="11">
        <f t="shared" si="67"/>
        <v>3.6559963660870225</v>
      </c>
      <c r="I97" s="11">
        <f t="shared" si="67"/>
        <v>3.5726504737892792</v>
      </c>
      <c r="J97" s="11">
        <f t="shared" si="67"/>
        <v>3.4553092958525418</v>
      </c>
      <c r="K97" s="11">
        <f t="shared" si="67"/>
        <v>3.308835044147618</v>
      </c>
      <c r="L97" s="11">
        <f t="shared" si="67"/>
        <v>3.139928821459612</v>
      </c>
      <c r="M97" s="11">
        <f t="shared" si="67"/>
        <v>2.9568440863961705</v>
      </c>
      <c r="N97" s="11">
        <f t="shared" si="67"/>
        <v>2.7685370355212937</v>
      </c>
      <c r="O97" s="11">
        <f t="shared" si="67"/>
        <v>2.583747758722885</v>
      </c>
      <c r="P97" s="11">
        <f t="shared" si="67"/>
        <v>2.410340970911351</v>
      </c>
      <c r="Q97" s="11">
        <f t="shared" si="67"/>
        <v>2.2550799635638414</v>
      </c>
      <c r="R97" s="11">
        <f t="shared" si="67"/>
        <v>2.1238681443686</v>
      </c>
      <c r="S97" s="11">
        <f t="shared" si="67"/>
        <v>2.022404965996127</v>
      </c>
      <c r="T97" s="11">
        <f t="shared" si="67"/>
        <v>1.957184922896802</v>
      </c>
      <c r="U97" s="11">
        <f t="shared" si="67"/>
        <v>1.9367776687673355</v>
      </c>
      <c r="V97" s="11">
        <f t="shared" si="67"/>
        <v>1.9732088886497925</v>
      </c>
      <c r="W97" s="11">
        <f t="shared" si="67"/>
        <v>2.082582191519298</v>
      </c>
      <c r="X97" s="11">
        <f t="shared" si="67"/>
        <v>2.2818992993739333</v>
      </c>
      <c r="Y97" s="11">
        <f t="shared" si="67"/>
        <v>2.5753838524451638</v>
      </c>
      <c r="Z97" s="11">
        <f t="shared" si="67"/>
        <v>2.9287015867124406</v>
      </c>
    </row>
    <row r="98" spans="1:26" ht="15.75">
      <c r="A98" s="59" t="s">
        <v>36</v>
      </c>
      <c r="B98" s="11">
        <f aca="true" t="shared" si="68" ref="B98:Z98">-B76*(B97-$B$12)</f>
        <v>1.4735731506894543</v>
      </c>
      <c r="C98" s="11">
        <f t="shared" si="68"/>
        <v>1.5989869096495257</v>
      </c>
      <c r="D98" s="11">
        <f t="shared" si="68"/>
        <v>1.3201145986133385</v>
      </c>
      <c r="E98" s="11">
        <f t="shared" si="68"/>
        <v>0.7860343508387848</v>
      </c>
      <c r="F98" s="11">
        <f t="shared" si="68"/>
        <v>0.22847920633054145</v>
      </c>
      <c r="G98" s="11">
        <f t="shared" si="68"/>
        <v>-0.22905942585987382</v>
      </c>
      <c r="H98" s="11">
        <f t="shared" si="68"/>
        <v>-0.5562730218280045</v>
      </c>
      <c r="I98" s="11">
        <f t="shared" si="68"/>
        <v>-0.7615271364547889</v>
      </c>
      <c r="J98" s="11">
        <f t="shared" si="68"/>
        <v>-0.8649765607453291</v>
      </c>
      <c r="K98" s="11">
        <f t="shared" si="68"/>
        <v>-0.888948486463599</v>
      </c>
      <c r="L98" s="11">
        <f t="shared" si="68"/>
        <v>-0.8546537278940047</v>
      </c>
      <c r="M98" s="11">
        <f t="shared" si="68"/>
        <v>-0.7812230413180264</v>
      </c>
      <c r="N98" s="11">
        <f t="shared" si="68"/>
        <v>-0.6852193920157793</v>
      </c>
      <c r="O98" s="11">
        <f t="shared" si="68"/>
        <v>-0.5798710059971354</v>
      </c>
      <c r="P98" s="11">
        <f t="shared" si="68"/>
        <v>-0.47434770155407374</v>
      </c>
      <c r="Q98" s="11">
        <f t="shared" si="68"/>
        <v>-0.3736219170252533</v>
      </c>
      <c r="R98" s="11">
        <f t="shared" si="68"/>
        <v>-0.2788622668757949</v>
      </c>
      <c r="S98" s="11">
        <f t="shared" si="68"/>
        <v>-0.1878062714036275</v>
      </c>
      <c r="T98" s="11">
        <f t="shared" si="68"/>
        <v>-0.09453204973371353</v>
      </c>
      <c r="U98" s="11">
        <f t="shared" si="68"/>
        <v>0.011856358457732202</v>
      </c>
      <c r="V98" s="11">
        <f t="shared" si="68"/>
        <v>0.15009217726090784</v>
      </c>
      <c r="W98" s="11">
        <f t="shared" si="68"/>
        <v>0.3505317026977109</v>
      </c>
      <c r="X98" s="11">
        <f t="shared" si="68"/>
        <v>0.6521955468186106</v>
      </c>
      <c r="Y98" s="11">
        <f t="shared" si="68"/>
        <v>1.0645167045103627</v>
      </c>
      <c r="Z98" s="11">
        <f t="shared" si="68"/>
        <v>1.4684319839944782</v>
      </c>
    </row>
    <row r="99" spans="1:27" s="24" customFormat="1" ht="15.75">
      <c r="A99" s="59" t="s">
        <v>37</v>
      </c>
      <c r="B99" s="24">
        <f>B76*(B96-$B$11)</f>
        <v>1.3708114922501315</v>
      </c>
      <c r="C99" s="24">
        <f>C76*(C96-$B$11)</f>
        <v>1.1337349804317327</v>
      </c>
      <c r="D99" s="24">
        <f>D76*(D96-$B$11)</f>
        <v>0.7241326898519321</v>
      </c>
      <c r="E99" s="24">
        <f>E76*(E96-$B$11)</f>
        <v>0.3547594607273445</v>
      </c>
      <c r="F99" s="24">
        <f aca="true" t="shared" si="69" ref="F99:Z99">F76*(F96-$B$11)</f>
        <v>0.09340966893840139</v>
      </c>
      <c r="G99" s="24">
        <f t="shared" si="69"/>
        <v>-0.0938536834168656</v>
      </c>
      <c r="H99" s="24">
        <f t="shared" si="69"/>
        <v>-0.2469247467839272</v>
      </c>
      <c r="I99" s="24">
        <f t="shared" si="69"/>
        <v>-0.3834514845072184</v>
      </c>
      <c r="J99" s="24">
        <f t="shared" si="69"/>
        <v>-0.5044582454831706</v>
      </c>
      <c r="K99" s="24">
        <f t="shared" si="69"/>
        <v>-0.6038324011531319</v>
      </c>
      <c r="L99" s="24">
        <f t="shared" si="69"/>
        <v>-0.6745039952466964</v>
      </c>
      <c r="M99" s="24">
        <f t="shared" si="69"/>
        <v>-0.7117498204723772</v>
      </c>
      <c r="N99" s="24">
        <f t="shared" si="69"/>
        <v>-0.7145578423789686</v>
      </c>
      <c r="O99" s="24">
        <f t="shared" si="69"/>
        <v>-0.6853117501475848</v>
      </c>
      <c r="P99" s="24">
        <f t="shared" si="69"/>
        <v>-0.628218719804598</v>
      </c>
      <c r="Q99" s="24">
        <f t="shared" si="69"/>
        <v>-0.5473619398085121</v>
      </c>
      <c r="R99" s="24">
        <f t="shared" si="69"/>
        <v>-0.44504794164663286</v>
      </c>
      <c r="S99" s="24">
        <f t="shared" si="69"/>
        <v>-0.32047608511922604</v>
      </c>
      <c r="T99" s="24">
        <f t="shared" si="69"/>
        <v>-0.16849316233758174</v>
      </c>
      <c r="U99" s="24">
        <f t="shared" si="69"/>
        <v>0.02142495702010763</v>
      </c>
      <c r="V99" s="24">
        <f t="shared" si="69"/>
        <v>0.2646630672159564</v>
      </c>
      <c r="W99" s="24">
        <f t="shared" si="69"/>
        <v>0.5748142466019155</v>
      </c>
      <c r="X99" s="24">
        <f t="shared" si="69"/>
        <v>0.9389687673799249</v>
      </c>
      <c r="Y99" s="24">
        <f t="shared" si="69"/>
        <v>1.2650858529148563</v>
      </c>
      <c r="Z99" s="24">
        <f t="shared" si="69"/>
        <v>1.3660288519137835</v>
      </c>
      <c r="AA99" s="156"/>
    </row>
    <row r="100" spans="1:26" ht="15.75">
      <c r="A100" s="48" t="s">
        <v>281</v>
      </c>
      <c r="B100" s="11">
        <f>-B82*(B97-$B$12)-((B76)^2)*(B96-$B$11)</f>
        <v>1.1789942428254796</v>
      </c>
      <c r="C100" s="11">
        <f aca="true" t="shared" si="70" ref="C100:Z100">-C82*(C97-$B$12)-((C76)^2)*(C96-$B$11)</f>
        <v>-0.30765337251237834</v>
      </c>
      <c r="D100" s="11">
        <f t="shared" si="70"/>
        <v>-1.7271933074215398</v>
      </c>
      <c r="E100" s="11">
        <f t="shared" si="70"/>
        <v>-2.2019689226665946</v>
      </c>
      <c r="F100" s="11">
        <f t="shared" si="70"/>
        <v>-1.9700000703172094</v>
      </c>
      <c r="G100" s="11">
        <f t="shared" si="70"/>
        <v>-1.4920918155238347</v>
      </c>
      <c r="H100" s="11">
        <f t="shared" si="70"/>
        <v>-0.9998891673808379</v>
      </c>
      <c r="I100" s="11">
        <f t="shared" si="70"/>
        <v>-0.572120375640257</v>
      </c>
      <c r="J100" s="11">
        <f t="shared" si="70"/>
        <v>-0.22830056259247583</v>
      </c>
      <c r="K100" s="11">
        <f t="shared" si="70"/>
        <v>0.032477839998106356</v>
      </c>
      <c r="L100" s="11">
        <f t="shared" si="70"/>
        <v>0.21664847798623404</v>
      </c>
      <c r="M100" s="11">
        <f t="shared" si="70"/>
        <v>0.3322360623003378</v>
      </c>
      <c r="N100" s="11">
        <f t="shared" si="70"/>
        <v>0.3902183040034202</v>
      </c>
      <c r="O100" s="11">
        <f t="shared" si="70"/>
        <v>0.4052872076399654</v>
      </c>
      <c r="P100" s="11">
        <f t="shared" si="70"/>
        <v>0.3937466852691886</v>
      </c>
      <c r="Q100" s="11">
        <f t="shared" si="70"/>
        <v>0.37083272108214027</v>
      </c>
      <c r="R100" s="11">
        <f t="shared" si="70"/>
        <v>0.34997439411342307</v>
      </c>
      <c r="S100" s="11">
        <f t="shared" si="70"/>
        <v>0.3442100475888482</v>
      </c>
      <c r="T100" s="11">
        <f t="shared" si="70"/>
        <v>0.36918107202429806</v>
      </c>
      <c r="U100" s="11">
        <f t="shared" si="70"/>
        <v>0.4480104028126402</v>
      </c>
      <c r="V100" s="11">
        <f t="shared" si="70"/>
        <v>0.6176983154260571</v>
      </c>
      <c r="W100" s="11">
        <f t="shared" si="70"/>
        <v>0.9266133500864803</v>
      </c>
      <c r="X100" s="11">
        <f t="shared" si="70"/>
        <v>1.3730447905195056</v>
      </c>
      <c r="Y100" s="11">
        <f t="shared" si="70"/>
        <v>1.688109488016394</v>
      </c>
      <c r="Z100" s="11">
        <f t="shared" si="70"/>
        <v>1.1955985449412845</v>
      </c>
    </row>
    <row r="101" spans="1:26" ht="15.75">
      <c r="A101" s="48" t="s">
        <v>282</v>
      </c>
      <c r="B101" s="11">
        <f>B82*(B96-$B$11)-((B76)^2)*(B97-$B$12)</f>
        <v>-0.28627497490705583</v>
      </c>
      <c r="C101" s="11">
        <f aca="true" t="shared" si="71" ref="C101:Z101">C82*(C96-$B$11)-((C76)^2)*(C97-$B$12)</f>
        <v>-1.395608234569862</v>
      </c>
      <c r="D101" s="11">
        <f t="shared" si="71"/>
        <v>-1.5938673809238255</v>
      </c>
      <c r="E101" s="11">
        <f t="shared" si="71"/>
        <v>-1.197795961535764</v>
      </c>
      <c r="F101" s="11">
        <f t="shared" si="71"/>
        <v>-0.8218554045184691</v>
      </c>
      <c r="G101" s="11">
        <f t="shared" si="71"/>
        <v>-0.6279175990481165</v>
      </c>
      <c r="H101" s="11">
        <f t="shared" si="71"/>
        <v>-0.5451582459069148</v>
      </c>
      <c r="I101" s="11">
        <f t="shared" si="71"/>
        <v>-0.491558363516284</v>
      </c>
      <c r="J101" s="11">
        <f t="shared" si="71"/>
        <v>-0.4233261879224198</v>
      </c>
      <c r="K101" s="11">
        <f t="shared" si="71"/>
        <v>-0.3269569077403651</v>
      </c>
      <c r="L101" s="11">
        <f t="shared" si="71"/>
        <v>-0.20653902515434974</v>
      </c>
      <c r="M101" s="11">
        <f t="shared" si="71"/>
        <v>-0.07504217415857353</v>
      </c>
      <c r="N101" s="11">
        <f t="shared" si="71"/>
        <v>0.05290556898686627</v>
      </c>
      <c r="O101" s="11">
        <f t="shared" si="71"/>
        <v>0.16707028636008125</v>
      </c>
      <c r="P101" s="11">
        <f t="shared" si="71"/>
        <v>0.2643861601773753</v>
      </c>
      <c r="Q101" s="11">
        <f t="shared" si="71"/>
        <v>0.348516142683608</v>
      </c>
      <c r="R101" s="11">
        <f t="shared" si="71"/>
        <v>0.4286663652521971</v>
      </c>
      <c r="S101" s="11">
        <f t="shared" si="71"/>
        <v>0.5191425906693745</v>
      </c>
      <c r="T101" s="11">
        <f t="shared" si="71"/>
        <v>0.6389539637747886</v>
      </c>
      <c r="U101" s="11">
        <f t="shared" si="71"/>
        <v>0.809264756923002</v>
      </c>
      <c r="V101" s="11">
        <f t="shared" si="71"/>
        <v>1.0422946419987749</v>
      </c>
      <c r="W101" s="11">
        <f t="shared" si="71"/>
        <v>1.3018385024046346</v>
      </c>
      <c r="X101" s="11">
        <f t="shared" si="71"/>
        <v>1.4040007097465796</v>
      </c>
      <c r="Y101" s="11">
        <f t="shared" si="71"/>
        <v>0.9447230632186343</v>
      </c>
      <c r="Z101" s="11">
        <f t="shared" si="71"/>
        <v>-0.26119475012198273</v>
      </c>
    </row>
    <row r="102" spans="1:26" ht="15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thickBot="1">
      <c r="A103" s="60" t="s">
        <v>283</v>
      </c>
      <c r="B103" s="13">
        <f>(B96-$B$11)^2+(B97-$B$12)^2-($D$7)^2</f>
        <v>0</v>
      </c>
      <c r="C103" s="13">
        <f aca="true" t="shared" si="72" ref="C103:Z103">(C96-$B$11)^2+(C97-$B$12)^2-($D$7)^2</f>
        <v>0</v>
      </c>
      <c r="D103" s="13">
        <f t="shared" si="72"/>
        <v>0</v>
      </c>
      <c r="E103" s="13">
        <f t="shared" si="72"/>
        <v>0</v>
      </c>
      <c r="F103" s="13">
        <f t="shared" si="72"/>
        <v>0</v>
      </c>
      <c r="G103" s="13">
        <f t="shared" si="72"/>
        <v>0</v>
      </c>
      <c r="H103" s="13">
        <f t="shared" si="72"/>
        <v>0</v>
      </c>
      <c r="I103" s="13">
        <f t="shared" si="72"/>
        <v>0</v>
      </c>
      <c r="J103" s="13">
        <f t="shared" si="72"/>
        <v>0</v>
      </c>
      <c r="K103" s="13">
        <f t="shared" si="72"/>
        <v>0</v>
      </c>
      <c r="L103" s="13">
        <f t="shared" si="72"/>
        <v>0</v>
      </c>
      <c r="M103" s="13">
        <f t="shared" si="72"/>
        <v>0</v>
      </c>
      <c r="N103" s="13">
        <f t="shared" si="72"/>
        <v>0</v>
      </c>
      <c r="O103" s="13">
        <f t="shared" si="72"/>
        <v>0</v>
      </c>
      <c r="P103" s="13">
        <f t="shared" si="72"/>
        <v>0</v>
      </c>
      <c r="Q103" s="13">
        <f t="shared" si="72"/>
        <v>0</v>
      </c>
      <c r="R103" s="13">
        <f t="shared" si="72"/>
        <v>0</v>
      </c>
      <c r="S103" s="13">
        <f t="shared" si="72"/>
        <v>0</v>
      </c>
      <c r="T103" s="13">
        <f t="shared" si="72"/>
        <v>0</v>
      </c>
      <c r="U103" s="13">
        <f t="shared" si="72"/>
        <v>0</v>
      </c>
      <c r="V103" s="13">
        <f t="shared" si="72"/>
        <v>0</v>
      </c>
      <c r="W103" s="13">
        <f t="shared" si="72"/>
        <v>0</v>
      </c>
      <c r="X103" s="13">
        <f t="shared" si="72"/>
        <v>0</v>
      </c>
      <c r="Y103" s="13">
        <f t="shared" si="72"/>
        <v>0</v>
      </c>
      <c r="Z103" s="13">
        <f t="shared" si="72"/>
        <v>0</v>
      </c>
    </row>
    <row r="104" ht="16.5" thickBot="1">
      <c r="A104" s="44" t="s">
        <v>284</v>
      </c>
    </row>
    <row r="105" spans="1:26" ht="15.75">
      <c r="A105" s="47" t="s">
        <v>285</v>
      </c>
      <c r="B105" s="1">
        <f aca="true" t="shared" si="73" ref="B105:Z105">$B$11+($F$7-$B$11)*COS(B72)-($G$7-$B$12)*SIN(B72)</f>
        <v>4.3622322687401756</v>
      </c>
      <c r="C105" s="1">
        <f t="shared" si="73"/>
        <v>4.1567950213872225</v>
      </c>
      <c r="D105" s="1">
        <f t="shared" si="73"/>
        <v>3.9618683098957117</v>
      </c>
      <c r="E105" s="1">
        <f t="shared" si="73"/>
        <v>3.822742330513859</v>
      </c>
      <c r="F105" s="1">
        <f t="shared" si="73"/>
        <v>3.756855482354796</v>
      </c>
      <c r="G105" s="1">
        <f t="shared" si="73"/>
        <v>3.7582868260808993</v>
      </c>
      <c r="H105" s="1">
        <f t="shared" si="73"/>
        <v>3.811432463480245</v>
      </c>
      <c r="I105" s="1">
        <f t="shared" si="73"/>
        <v>3.899467702607107</v>
      </c>
      <c r="J105" s="1">
        <f t="shared" si="73"/>
        <v>4.007576010779709</v>
      </c>
      <c r="K105" s="1">
        <f t="shared" si="73"/>
        <v>4.123789420957126</v>
      </c>
      <c r="L105" s="1">
        <f t="shared" si="73"/>
        <v>4.239036621348139</v>
      </c>
      <c r="M105" s="1">
        <f t="shared" si="73"/>
        <v>4.346947757779044</v>
      </c>
      <c r="N105" s="1">
        <f t="shared" si="73"/>
        <v>4.443537554321583</v>
      </c>
      <c r="O105" s="1">
        <f t="shared" si="73"/>
        <v>4.526781542927348</v>
      </c>
      <c r="P105" s="1">
        <f t="shared" si="73"/>
        <v>4.596109050468209</v>
      </c>
      <c r="Q105" s="1">
        <f t="shared" si="73"/>
        <v>4.651863671579233</v>
      </c>
      <c r="R105" s="1">
        <f t="shared" si="73"/>
        <v>4.694784949878322</v>
      </c>
      <c r="S105" s="1">
        <f t="shared" si="73"/>
        <v>4.725534565976164</v>
      </c>
      <c r="T105" s="1">
        <f t="shared" si="73"/>
        <v>4.744235303620575</v>
      </c>
      <c r="U105" s="1">
        <f t="shared" si="73"/>
        <v>4.749920874051464</v>
      </c>
      <c r="V105" s="1">
        <f t="shared" si="73"/>
        <v>4.739715974071158</v>
      </c>
      <c r="W105" s="1">
        <f t="shared" si="73"/>
        <v>4.707545857039179</v>
      </c>
      <c r="X105" s="1">
        <f t="shared" si="73"/>
        <v>4.642630176539804</v>
      </c>
      <c r="Y105" s="1">
        <f t="shared" si="73"/>
        <v>4.530310263685497</v>
      </c>
      <c r="Z105" s="1">
        <f t="shared" si="73"/>
        <v>4.3622322687401756</v>
      </c>
    </row>
    <row r="106" spans="1:26" ht="15.75">
      <c r="A106" s="48" t="s">
        <v>286</v>
      </c>
      <c r="B106" s="1">
        <f aca="true" t="shared" si="74" ref="B106:Z106">$B$12+($F$7-$B$11)*SIN(B72)+($G$7-$B$12)*COS(B72)</f>
        <v>-1.4643507933562203</v>
      </c>
      <c r="C106" s="1">
        <f t="shared" si="74"/>
        <v>-1.6315101220935568</v>
      </c>
      <c r="D106" s="1">
        <f t="shared" si="74"/>
        <v>-1.7535134314907215</v>
      </c>
      <c r="E106" s="1">
        <f t="shared" si="74"/>
        <v>-1.8229358347403843</v>
      </c>
      <c r="F106" s="1">
        <f t="shared" si="74"/>
        <v>-1.8512616721656308</v>
      </c>
      <c r="G106" s="1">
        <f t="shared" si="74"/>
        <v>-1.850675846654987</v>
      </c>
      <c r="H106" s="1">
        <f t="shared" si="74"/>
        <v>-1.827998183043511</v>
      </c>
      <c r="I106" s="1">
        <f t="shared" si="74"/>
        <v>-1.7863252368946396</v>
      </c>
      <c r="J106" s="1">
        <f t="shared" si="74"/>
        <v>-1.7276546479262707</v>
      </c>
      <c r="K106" s="1">
        <f t="shared" si="74"/>
        <v>-1.654417522073809</v>
      </c>
      <c r="L106" s="1">
        <f t="shared" si="74"/>
        <v>-1.569964410729806</v>
      </c>
      <c r="M106" s="1">
        <f t="shared" si="74"/>
        <v>-1.4784220431980852</v>
      </c>
      <c r="N106" s="1">
        <f t="shared" si="74"/>
        <v>-1.3842685177606469</v>
      </c>
      <c r="O106" s="1">
        <f t="shared" si="74"/>
        <v>-1.2918738793614426</v>
      </c>
      <c r="P106" s="1">
        <f t="shared" si="74"/>
        <v>-1.2051704854556755</v>
      </c>
      <c r="Q106" s="1">
        <f t="shared" si="74"/>
        <v>-1.1275399817819207</v>
      </c>
      <c r="R106" s="1">
        <f t="shared" si="74"/>
        <v>-1.0619340721843002</v>
      </c>
      <c r="S106" s="1">
        <f t="shared" si="74"/>
        <v>-1.0112024829980637</v>
      </c>
      <c r="T106" s="1">
        <f t="shared" si="74"/>
        <v>-0.9785924614484012</v>
      </c>
      <c r="U106" s="1">
        <f t="shared" si="74"/>
        <v>-0.9683888343836679</v>
      </c>
      <c r="V106" s="1">
        <f t="shared" si="74"/>
        <v>-0.9866044443248965</v>
      </c>
      <c r="W106" s="1">
        <f t="shared" si="74"/>
        <v>-1.0412910957596493</v>
      </c>
      <c r="X106" s="1">
        <f t="shared" si="74"/>
        <v>-1.1409496496869669</v>
      </c>
      <c r="Y106" s="1">
        <f t="shared" si="74"/>
        <v>-1.2876919262225819</v>
      </c>
      <c r="Z106" s="1">
        <f t="shared" si="74"/>
        <v>-1.4643507933562203</v>
      </c>
    </row>
    <row r="107" spans="1:26" ht="15.75">
      <c r="A107" s="48" t="s">
        <v>287</v>
      </c>
      <c r="B107" s="1">
        <f aca="true" t="shared" si="75" ref="B107:Z107">-B76*(B106-$B$12)</f>
        <v>-0.7367865753447271</v>
      </c>
      <c r="C107" s="1">
        <f t="shared" si="75"/>
        <v>-0.7994934548247629</v>
      </c>
      <c r="D107" s="1">
        <f t="shared" si="75"/>
        <v>-0.6600572993066691</v>
      </c>
      <c r="E107" s="1">
        <f t="shared" si="75"/>
        <v>-0.3930171754193924</v>
      </c>
      <c r="F107" s="1">
        <f t="shared" si="75"/>
        <v>-0.11423960316527072</v>
      </c>
      <c r="G107" s="1">
        <f t="shared" si="75"/>
        <v>0.1145297129299369</v>
      </c>
      <c r="H107" s="1">
        <f t="shared" si="75"/>
        <v>0.2781365109140022</v>
      </c>
      <c r="I107" s="1">
        <f t="shared" si="75"/>
        <v>0.38076356822739443</v>
      </c>
      <c r="J107" s="1">
        <f t="shared" si="75"/>
        <v>0.4324882803726645</v>
      </c>
      <c r="K107" s="1">
        <f t="shared" si="75"/>
        <v>0.4444742432317995</v>
      </c>
      <c r="L107" s="1">
        <f t="shared" si="75"/>
        <v>0.42732686394700237</v>
      </c>
      <c r="M107" s="1">
        <f t="shared" si="75"/>
        <v>0.3906115206590132</v>
      </c>
      <c r="N107" s="1">
        <f t="shared" si="75"/>
        <v>0.34260969600788965</v>
      </c>
      <c r="O107" s="1">
        <f t="shared" si="75"/>
        <v>0.2899355029985677</v>
      </c>
      <c r="P107" s="1">
        <f t="shared" si="75"/>
        <v>0.23717385077703687</v>
      </c>
      <c r="Q107" s="1">
        <f t="shared" si="75"/>
        <v>0.18681095851262666</v>
      </c>
      <c r="R107" s="1">
        <f t="shared" si="75"/>
        <v>0.13943113343789748</v>
      </c>
      <c r="S107" s="1">
        <f t="shared" si="75"/>
        <v>0.09390313570181377</v>
      </c>
      <c r="T107" s="1">
        <f t="shared" si="75"/>
        <v>0.04726602486685677</v>
      </c>
      <c r="U107" s="1">
        <f t="shared" si="75"/>
        <v>-0.005928179228866102</v>
      </c>
      <c r="V107" s="1">
        <f t="shared" si="75"/>
        <v>-0.07504608863045394</v>
      </c>
      <c r="W107" s="1">
        <f t="shared" si="75"/>
        <v>-0.17526585134885547</v>
      </c>
      <c r="X107" s="1">
        <f t="shared" si="75"/>
        <v>-0.32609777340930535</v>
      </c>
      <c r="Y107" s="1">
        <f t="shared" si="75"/>
        <v>-0.5322583522551814</v>
      </c>
      <c r="Z107" s="1">
        <f t="shared" si="75"/>
        <v>-0.7342159919972391</v>
      </c>
    </row>
    <row r="108" spans="1:26" ht="15.75">
      <c r="A108" s="48" t="s">
        <v>288</v>
      </c>
      <c r="B108" s="1">
        <f aca="true" t="shared" si="76" ref="B108:Z108">B76*(B105-$B$11)</f>
        <v>-0.6854057461250656</v>
      </c>
      <c r="C108" s="1">
        <f t="shared" si="76"/>
        <v>-0.5668674902158661</v>
      </c>
      <c r="D108" s="1">
        <f t="shared" si="76"/>
        <v>-0.36206634492596595</v>
      </c>
      <c r="E108" s="1">
        <f t="shared" si="76"/>
        <v>-0.17737973036367216</v>
      </c>
      <c r="F108" s="1">
        <f t="shared" si="76"/>
        <v>-0.04670483446920068</v>
      </c>
      <c r="G108" s="1">
        <f t="shared" si="76"/>
        <v>0.046926841708432775</v>
      </c>
      <c r="H108" s="1">
        <f t="shared" si="76"/>
        <v>0.1234623733919635</v>
      </c>
      <c r="I108" s="1">
        <f t="shared" si="76"/>
        <v>0.19172574225360914</v>
      </c>
      <c r="J108" s="1">
        <f t="shared" si="76"/>
        <v>0.25222912274158527</v>
      </c>
      <c r="K108" s="1">
        <f t="shared" si="76"/>
        <v>0.3019162005765657</v>
      </c>
      <c r="L108" s="1">
        <f t="shared" si="76"/>
        <v>0.33725199762334807</v>
      </c>
      <c r="M108" s="1">
        <f t="shared" si="76"/>
        <v>0.3558749102361883</v>
      </c>
      <c r="N108" s="1">
        <f t="shared" si="76"/>
        <v>0.3572789211894841</v>
      </c>
      <c r="O108" s="1">
        <f t="shared" si="76"/>
        <v>0.3426558750737923</v>
      </c>
      <c r="P108" s="1">
        <f t="shared" si="76"/>
        <v>0.31410935990229893</v>
      </c>
      <c r="Q108" s="1">
        <f t="shared" si="76"/>
        <v>0.273680969904256</v>
      </c>
      <c r="R108" s="1">
        <f t="shared" si="76"/>
        <v>0.22252397082331635</v>
      </c>
      <c r="S108" s="1">
        <f t="shared" si="76"/>
        <v>0.16023804255961302</v>
      </c>
      <c r="T108" s="1">
        <f t="shared" si="76"/>
        <v>0.08424658116879084</v>
      </c>
      <c r="U108" s="1">
        <f t="shared" si="76"/>
        <v>-0.01071247851005381</v>
      </c>
      <c r="V108" s="1">
        <f t="shared" si="76"/>
        <v>-0.13233153360797814</v>
      </c>
      <c r="W108" s="1">
        <f t="shared" si="76"/>
        <v>-0.2874071233009576</v>
      </c>
      <c r="X108" s="1">
        <f t="shared" si="76"/>
        <v>-0.46948438368996237</v>
      </c>
      <c r="Y108" s="1">
        <f t="shared" si="76"/>
        <v>-0.632542926457428</v>
      </c>
      <c r="Z108" s="1">
        <f t="shared" si="76"/>
        <v>-0.6830144259568915</v>
      </c>
    </row>
    <row r="109" spans="1:26" ht="15.75">
      <c r="A109" s="48" t="s">
        <v>289</v>
      </c>
      <c r="B109" s="1">
        <f aca="true" t="shared" si="77" ref="B109:Z109">-B82*(B106-$B$12)-B76^2*(B105-$B$11)</f>
        <v>-0.5894971214127397</v>
      </c>
      <c r="C109" s="1">
        <f t="shared" si="77"/>
        <v>0.15382668625618923</v>
      </c>
      <c r="D109" s="1">
        <f t="shared" si="77"/>
        <v>0.8635966537107698</v>
      </c>
      <c r="E109" s="1">
        <f t="shared" si="77"/>
        <v>1.1009844613332973</v>
      </c>
      <c r="F109" s="1">
        <f t="shared" si="77"/>
        <v>0.9850000351586047</v>
      </c>
      <c r="G109" s="1">
        <f t="shared" si="77"/>
        <v>0.7460459077619173</v>
      </c>
      <c r="H109" s="1">
        <f t="shared" si="77"/>
        <v>0.49994458369041894</v>
      </c>
      <c r="I109" s="1">
        <f t="shared" si="77"/>
        <v>0.28606018782012854</v>
      </c>
      <c r="J109" s="1">
        <f t="shared" si="77"/>
        <v>0.11415028129623793</v>
      </c>
      <c r="K109" s="1">
        <f t="shared" si="77"/>
        <v>-0.01623891999905311</v>
      </c>
      <c r="L109" s="1">
        <f t="shared" si="77"/>
        <v>-0.108324238993117</v>
      </c>
      <c r="M109" s="1">
        <f t="shared" si="77"/>
        <v>-0.16611803115016882</v>
      </c>
      <c r="N109" s="1">
        <f t="shared" si="77"/>
        <v>-0.19510915200171008</v>
      </c>
      <c r="O109" s="1">
        <f t="shared" si="77"/>
        <v>-0.20264360381998267</v>
      </c>
      <c r="P109" s="1">
        <f t="shared" si="77"/>
        <v>-0.19687334263459427</v>
      </c>
      <c r="Q109" s="1">
        <f t="shared" si="77"/>
        <v>-0.18541636054107014</v>
      </c>
      <c r="R109" s="1">
        <f t="shared" si="77"/>
        <v>-0.17498719705671156</v>
      </c>
      <c r="S109" s="1">
        <f t="shared" si="77"/>
        <v>-0.17210502379442413</v>
      </c>
      <c r="T109" s="1">
        <f t="shared" si="77"/>
        <v>-0.18459053601214906</v>
      </c>
      <c r="U109" s="1">
        <f t="shared" si="77"/>
        <v>-0.22400520140632013</v>
      </c>
      <c r="V109" s="1">
        <f t="shared" si="77"/>
        <v>-0.3088491577130286</v>
      </c>
      <c r="W109" s="1">
        <f t="shared" si="77"/>
        <v>-0.4633066750432402</v>
      </c>
      <c r="X109" s="1">
        <f t="shared" si="77"/>
        <v>-0.6865223952597529</v>
      </c>
      <c r="Y109" s="1">
        <f t="shared" si="77"/>
        <v>-0.844054744008197</v>
      </c>
      <c r="Z109" s="1">
        <f t="shared" si="77"/>
        <v>-0.5977992724706422</v>
      </c>
    </row>
    <row r="110" spans="1:26" ht="15.75">
      <c r="A110" s="48" t="s">
        <v>290</v>
      </c>
      <c r="B110" s="1">
        <f aca="true" t="shared" si="78" ref="B110:Z110">B82*(B105-$B$11)-B76^2*(B106-$B$12)</f>
        <v>0.143137487453528</v>
      </c>
      <c r="C110" s="1">
        <f t="shared" si="78"/>
        <v>0.697804117284931</v>
      </c>
      <c r="D110" s="1">
        <f t="shared" si="78"/>
        <v>0.7969336904619126</v>
      </c>
      <c r="E110" s="1">
        <f t="shared" si="78"/>
        <v>0.5988979807678816</v>
      </c>
      <c r="F110" s="1">
        <f t="shared" si="78"/>
        <v>0.4109277022592344</v>
      </c>
      <c r="G110" s="1">
        <f t="shared" si="78"/>
        <v>0.3139587995240581</v>
      </c>
      <c r="H110" s="1">
        <f t="shared" si="78"/>
        <v>0.2725791229534572</v>
      </c>
      <c r="I110" s="1">
        <f t="shared" si="78"/>
        <v>0.24577918175814195</v>
      </c>
      <c r="J110" s="1">
        <f t="shared" si="78"/>
        <v>0.21166309396120986</v>
      </c>
      <c r="K110" s="1">
        <f t="shared" si="78"/>
        <v>0.16347845387018253</v>
      </c>
      <c r="L110" s="1">
        <f t="shared" si="78"/>
        <v>0.10326951257717487</v>
      </c>
      <c r="M110" s="1">
        <f t="shared" si="78"/>
        <v>0.03752108707928682</v>
      </c>
      <c r="N110" s="1">
        <f t="shared" si="78"/>
        <v>-0.02645278449343308</v>
      </c>
      <c r="O110" s="1">
        <f t="shared" si="78"/>
        <v>-0.08353514318004057</v>
      </c>
      <c r="P110" s="1">
        <f t="shared" si="78"/>
        <v>-0.1321930800886876</v>
      </c>
      <c r="Q110" s="1">
        <f t="shared" si="78"/>
        <v>-0.17425807134180393</v>
      </c>
      <c r="R110" s="1">
        <f t="shared" si="78"/>
        <v>-0.21433318262609843</v>
      </c>
      <c r="S110" s="1">
        <f t="shared" si="78"/>
        <v>-0.25957129533468726</v>
      </c>
      <c r="T110" s="1">
        <f t="shared" si="78"/>
        <v>-0.31947698188739426</v>
      </c>
      <c r="U110" s="1">
        <f t="shared" si="78"/>
        <v>-0.40463237846150085</v>
      </c>
      <c r="V110" s="1">
        <f t="shared" si="78"/>
        <v>-0.5211473209993873</v>
      </c>
      <c r="W110" s="1">
        <f t="shared" si="78"/>
        <v>-0.6509192512023169</v>
      </c>
      <c r="X110" s="1">
        <f t="shared" si="78"/>
        <v>-0.7020003548732897</v>
      </c>
      <c r="Y110" s="1">
        <f t="shared" si="78"/>
        <v>-0.47236153160931704</v>
      </c>
      <c r="Z110" s="1">
        <f t="shared" si="78"/>
        <v>0.13059737506099145</v>
      </c>
    </row>
    <row r="111" spans="1:26" ht="15.75">
      <c r="A111" s="61" t="s">
        <v>291</v>
      </c>
      <c r="B111" s="25">
        <f>((B105-$B$11)^2+(B106-$B$12)^2)^(1/2)</f>
        <v>1.9999999999999993</v>
      </c>
      <c r="C111" s="25">
        <f aca="true" t="shared" si="79" ref="C111:Z111">((C105-$B$11)^2+(C106-$B$12)^2)^(1/2)</f>
        <v>1.9999999999999993</v>
      </c>
      <c r="D111" s="25">
        <f t="shared" si="79"/>
        <v>1.9999999999999996</v>
      </c>
      <c r="E111" s="25">
        <f t="shared" si="79"/>
        <v>1.9999999999999996</v>
      </c>
      <c r="F111" s="25">
        <f t="shared" si="79"/>
        <v>1.9999999999999996</v>
      </c>
      <c r="G111" s="25">
        <f t="shared" si="79"/>
        <v>1.9999999999999993</v>
      </c>
      <c r="H111" s="25">
        <f t="shared" si="79"/>
        <v>1.9999999999999991</v>
      </c>
      <c r="I111" s="25">
        <f t="shared" si="79"/>
        <v>1.9999999999999996</v>
      </c>
      <c r="J111" s="25">
        <f t="shared" si="79"/>
        <v>1.9999999999999996</v>
      </c>
      <c r="K111" s="25">
        <f t="shared" si="79"/>
        <v>1.9999999999999991</v>
      </c>
      <c r="L111" s="25">
        <f t="shared" si="79"/>
        <v>1.9999999999999996</v>
      </c>
      <c r="M111" s="25">
        <f t="shared" si="79"/>
        <v>1.999999999999999</v>
      </c>
      <c r="N111" s="25">
        <f t="shared" si="79"/>
        <v>1.9999999999999991</v>
      </c>
      <c r="O111" s="25">
        <f t="shared" si="79"/>
        <v>1.9999999999999993</v>
      </c>
      <c r="P111" s="25">
        <f t="shared" si="79"/>
        <v>1.9999999999999993</v>
      </c>
      <c r="Q111" s="25">
        <f t="shared" si="79"/>
        <v>1.9999999999999993</v>
      </c>
      <c r="R111" s="25">
        <f t="shared" si="79"/>
        <v>1.9999999999999993</v>
      </c>
      <c r="S111" s="25">
        <f t="shared" si="79"/>
        <v>1.9999999999999996</v>
      </c>
      <c r="T111" s="25">
        <f t="shared" si="79"/>
        <v>1.9999999999999998</v>
      </c>
      <c r="U111" s="25">
        <f t="shared" si="79"/>
        <v>1.9999999999999993</v>
      </c>
      <c r="V111" s="25">
        <f t="shared" si="79"/>
        <v>1.9999999999999991</v>
      </c>
      <c r="W111" s="25">
        <f t="shared" si="79"/>
        <v>1.9999999999999987</v>
      </c>
      <c r="X111" s="25">
        <f t="shared" si="79"/>
        <v>1.9999999999999998</v>
      </c>
      <c r="Y111" s="25">
        <f t="shared" si="79"/>
        <v>1.9999999999999993</v>
      </c>
      <c r="Z111" s="25">
        <f t="shared" si="79"/>
        <v>1.9999999999999993</v>
      </c>
    </row>
    <row r="112" spans="1:26" ht="15.75" thickBot="1">
      <c r="A112" s="18" t="s">
        <v>88</v>
      </c>
      <c r="B112" s="25">
        <f aca="true" t="shared" si="80" ref="B112:Z112">((B105-B96)^2+(B106-B97)^2)^(1/2)</f>
        <v>5.999999999999999</v>
      </c>
      <c r="C112" s="25">
        <f t="shared" si="80"/>
        <v>5.999999999999998</v>
      </c>
      <c r="D112" s="25">
        <f t="shared" si="80"/>
        <v>5.999999999999999</v>
      </c>
      <c r="E112" s="25">
        <f t="shared" si="80"/>
        <v>5.999999999999998</v>
      </c>
      <c r="F112" s="25">
        <f t="shared" si="80"/>
        <v>5.999999999999999</v>
      </c>
      <c r="G112" s="25">
        <f t="shared" si="80"/>
        <v>5.999999999999999</v>
      </c>
      <c r="H112" s="25">
        <f t="shared" si="80"/>
        <v>5.999999999999999</v>
      </c>
      <c r="I112" s="25">
        <f t="shared" si="80"/>
        <v>5.999999999999999</v>
      </c>
      <c r="J112" s="25">
        <f t="shared" si="80"/>
        <v>5.999999999999999</v>
      </c>
      <c r="K112" s="25">
        <f t="shared" si="80"/>
        <v>5.999999999999998</v>
      </c>
      <c r="L112" s="25">
        <f t="shared" si="80"/>
        <v>5.999999999999999</v>
      </c>
      <c r="M112" s="25">
        <f t="shared" si="80"/>
        <v>5.999999999999998</v>
      </c>
      <c r="N112" s="25">
        <f t="shared" si="80"/>
        <v>5.999999999999998</v>
      </c>
      <c r="O112" s="25">
        <f t="shared" si="80"/>
        <v>5.999999999999998</v>
      </c>
      <c r="P112" s="25">
        <f t="shared" si="80"/>
        <v>5.999999999999999</v>
      </c>
      <c r="Q112" s="25">
        <f t="shared" si="80"/>
        <v>5.999999999999999</v>
      </c>
      <c r="R112" s="25">
        <f t="shared" si="80"/>
        <v>5.999999999999999</v>
      </c>
      <c r="S112" s="25">
        <f t="shared" si="80"/>
        <v>5.999999999999999</v>
      </c>
      <c r="T112" s="25">
        <f t="shared" si="80"/>
        <v>6</v>
      </c>
      <c r="U112" s="25">
        <f t="shared" si="80"/>
        <v>5.999999999999999</v>
      </c>
      <c r="V112" s="25">
        <f t="shared" si="80"/>
        <v>5.999999999999999</v>
      </c>
      <c r="W112" s="25">
        <f t="shared" si="80"/>
        <v>5.999999999999997</v>
      </c>
      <c r="X112" s="25">
        <f t="shared" si="80"/>
        <v>6</v>
      </c>
      <c r="Y112" s="25">
        <f t="shared" si="80"/>
        <v>5.999999999999999</v>
      </c>
      <c r="Z112" s="25">
        <f t="shared" si="80"/>
        <v>5.999999999999999</v>
      </c>
    </row>
    <row r="113" spans="1:26" ht="15.75" thickBot="1">
      <c r="A113" s="62" t="s">
        <v>292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>
      <c r="A114" s="120" t="s">
        <v>293</v>
      </c>
      <c r="B114" s="25">
        <f aca="true" t="shared" si="81" ref="B114:Z114">(-SIGN($B$13))*($B$16*B105-B106+$B$13)/($B$16^2+1)^(1/2)</f>
        <v>-0.286391385565214</v>
      </c>
      <c r="C114" s="25">
        <f t="shared" si="81"/>
        <v>-0.5010259704861335</v>
      </c>
      <c r="D114" s="25">
        <f t="shared" si="81"/>
        <v>-0.6693228632587979</v>
      </c>
      <c r="E114" s="25">
        <f t="shared" si="81"/>
        <v>-0.7723882086132655</v>
      </c>
      <c r="F114" s="25">
        <f t="shared" si="81"/>
        <v>-0.8168016376589201</v>
      </c>
      <c r="G114" s="25">
        <f t="shared" si="81"/>
        <v>-0.8158653146520867</v>
      </c>
      <c r="H114" s="25">
        <f t="shared" si="81"/>
        <v>-0.7802052705668027</v>
      </c>
      <c r="I114" s="25">
        <f t="shared" si="81"/>
        <v>-0.7171670990978678</v>
      </c>
      <c r="J114" s="25">
        <f t="shared" si="81"/>
        <v>-0.6325151728808477</v>
      </c>
      <c r="K114" s="25">
        <f t="shared" si="81"/>
        <v>-0.5316952977265456</v>
      </c>
      <c r="L114" s="25">
        <f t="shared" si="81"/>
        <v>-0.42029168601296607</v>
      </c>
      <c r="M114" s="25">
        <f t="shared" si="81"/>
        <v>-0.30393909172745637</v>
      </c>
      <c r="N114" s="25">
        <f t="shared" si="81"/>
        <v>-0.18799449096348306</v>
      </c>
      <c r="O114" s="25">
        <f t="shared" si="81"/>
        <v>-0.07720299388158275</v>
      </c>
      <c r="P114" s="25">
        <f t="shared" si="81"/>
        <v>0.02448933281997528</v>
      </c>
      <c r="Q114" s="25">
        <f t="shared" si="81"/>
        <v>0.11390499902229136</v>
      </c>
      <c r="R114" s="25">
        <f t="shared" si="81"/>
        <v>0.1883842857237687</v>
      </c>
      <c r="S114" s="25">
        <f t="shared" si="81"/>
        <v>0.24534582420315448</v>
      </c>
      <c r="T114" s="25">
        <f t="shared" si="81"/>
        <v>0.28168479327365553</v>
      </c>
      <c r="U114" s="25">
        <f t="shared" si="81"/>
        <v>0.2930122740870894</v>
      </c>
      <c r="V114" s="25">
        <f t="shared" si="81"/>
        <v>0.2727761235349795</v>
      </c>
      <c r="W114" s="25">
        <f t="shared" si="81"/>
        <v>0.21162663558983028</v>
      </c>
      <c r="X114" s="25">
        <f t="shared" si="81"/>
        <v>0.09856245010178386</v>
      </c>
      <c r="Y114" s="25">
        <f t="shared" si="81"/>
        <v>-0.07225023720336926</v>
      </c>
      <c r="Z114" s="25">
        <f t="shared" si="81"/>
        <v>-0.286391385565214</v>
      </c>
    </row>
    <row r="115" spans="1:26" ht="15.75">
      <c r="A115" s="120" t="s">
        <v>76</v>
      </c>
      <c r="B115" s="25">
        <f>B114/$D$10</f>
        <v>-0.143195692782607</v>
      </c>
      <c r="C115" s="25">
        <f aca="true" t="shared" si="82" ref="C115:Z115">C114/$D$10</f>
        <v>-0.25051298524306675</v>
      </c>
      <c r="D115" s="25">
        <f t="shared" si="82"/>
        <v>-0.33466143162939893</v>
      </c>
      <c r="E115" s="25">
        <f t="shared" si="82"/>
        <v>-0.38619410430663276</v>
      </c>
      <c r="F115" s="25">
        <f t="shared" si="82"/>
        <v>-0.40840081882946005</v>
      </c>
      <c r="G115" s="25">
        <f t="shared" si="82"/>
        <v>-0.40793265732604334</v>
      </c>
      <c r="H115" s="25">
        <f t="shared" si="82"/>
        <v>-0.39010263528340133</v>
      </c>
      <c r="I115" s="25">
        <f t="shared" si="82"/>
        <v>-0.3585835495489339</v>
      </c>
      <c r="J115" s="25">
        <f t="shared" si="82"/>
        <v>-0.31625758644042384</v>
      </c>
      <c r="K115" s="25">
        <f t="shared" si="82"/>
        <v>-0.2658476488632728</v>
      </c>
      <c r="L115" s="25">
        <f t="shared" si="82"/>
        <v>-0.21014584300648304</v>
      </c>
      <c r="M115" s="25">
        <f t="shared" si="82"/>
        <v>-0.15196954586372818</v>
      </c>
      <c r="N115" s="25">
        <f t="shared" si="82"/>
        <v>-0.09399724548174153</v>
      </c>
      <c r="O115" s="25">
        <f t="shared" si="82"/>
        <v>-0.038601496940791374</v>
      </c>
      <c r="P115" s="25">
        <f t="shared" si="82"/>
        <v>0.01224466640998764</v>
      </c>
      <c r="Q115" s="25">
        <f t="shared" si="82"/>
        <v>0.05695249951114568</v>
      </c>
      <c r="R115" s="25">
        <f t="shared" si="82"/>
        <v>0.09419214286188435</v>
      </c>
      <c r="S115" s="25">
        <f t="shared" si="82"/>
        <v>0.12267291210157724</v>
      </c>
      <c r="T115" s="25">
        <f t="shared" si="82"/>
        <v>0.14084239663682777</v>
      </c>
      <c r="U115" s="25">
        <f t="shared" si="82"/>
        <v>0.1465061370435447</v>
      </c>
      <c r="V115" s="25">
        <f t="shared" si="82"/>
        <v>0.13638806176748974</v>
      </c>
      <c r="W115" s="25">
        <f t="shared" si="82"/>
        <v>0.10581331779491514</v>
      </c>
      <c r="X115" s="25">
        <f t="shared" si="82"/>
        <v>0.04928122505089193</v>
      </c>
      <c r="Y115" s="25">
        <f t="shared" si="82"/>
        <v>-0.03612511860168463</v>
      </c>
      <c r="Z115" s="25">
        <f t="shared" si="82"/>
        <v>-0.143195692782607</v>
      </c>
    </row>
    <row r="116" spans="1:26" ht="15.75">
      <c r="A116" s="120" t="s">
        <v>77</v>
      </c>
      <c r="B116" s="25">
        <f>ASIN(B115)</f>
        <v>-0.14368963566503304</v>
      </c>
      <c r="C116" s="25">
        <f aca="true" t="shared" si="83" ref="C116:Z116">ASIN(C115)</f>
        <v>-0.25321010029058144</v>
      </c>
      <c r="D116" s="25">
        <f t="shared" si="83"/>
        <v>-0.34124592184471864</v>
      </c>
      <c r="E116" s="25">
        <f t="shared" si="83"/>
        <v>-0.39650201002182195</v>
      </c>
      <c r="F116" s="25">
        <f t="shared" si="83"/>
        <v>-0.4207014279808314</v>
      </c>
      <c r="G116" s="25">
        <f t="shared" si="83"/>
        <v>-0.4201886032259845</v>
      </c>
      <c r="H116" s="25">
        <f t="shared" si="83"/>
        <v>-0.40074305670047</v>
      </c>
      <c r="I116" s="25">
        <f t="shared" si="83"/>
        <v>-0.3667500920225543</v>
      </c>
      <c r="J116" s="25">
        <f t="shared" si="83"/>
        <v>-0.3217819880477672</v>
      </c>
      <c r="K116" s="25">
        <f t="shared" si="83"/>
        <v>-0.2690831059198245</v>
      </c>
      <c r="L116" s="25">
        <f t="shared" si="83"/>
        <v>-0.21172413142298843</v>
      </c>
      <c r="M116" s="25">
        <f t="shared" si="83"/>
        <v>-0.15256065953436335</v>
      </c>
      <c r="N116" s="25">
        <f t="shared" si="83"/>
        <v>-0.09413621723859124</v>
      </c>
      <c r="O116" s="25">
        <f t="shared" si="83"/>
        <v>-0.0386110898991568</v>
      </c>
      <c r="P116" s="25">
        <f t="shared" si="83"/>
        <v>0.012244972408226043</v>
      </c>
      <c r="Q116" s="25">
        <f t="shared" si="83"/>
        <v>0.05698333293703119</v>
      </c>
      <c r="R116" s="25">
        <f t="shared" si="83"/>
        <v>0.09433198318323707</v>
      </c>
      <c r="S116" s="25">
        <f t="shared" si="83"/>
        <v>0.12298269132918764</v>
      </c>
      <c r="T116" s="25">
        <f t="shared" si="83"/>
        <v>0.14131224148623606</v>
      </c>
      <c r="U116" s="25">
        <f t="shared" si="83"/>
        <v>0.14703536735597011</v>
      </c>
      <c r="V116" s="25">
        <f t="shared" si="83"/>
        <v>0.13681448268266794</v>
      </c>
      <c r="W116" s="25">
        <f t="shared" si="83"/>
        <v>0.10601177507037596</v>
      </c>
      <c r="X116" s="25">
        <f t="shared" si="83"/>
        <v>0.0493011946017658</v>
      </c>
      <c r="Y116" s="25">
        <f t="shared" si="83"/>
        <v>-0.03613298057855612</v>
      </c>
      <c r="Z116" s="25">
        <f t="shared" si="83"/>
        <v>-0.14368963566503304</v>
      </c>
    </row>
    <row r="117" spans="1:26" ht="15.75">
      <c r="A117" s="120" t="s">
        <v>78</v>
      </c>
      <c r="B117" s="25">
        <f aca="true" t="shared" si="84" ref="B117:Z117">$B$15-B116</f>
        <v>-0.11810975213411637</v>
      </c>
      <c r="C117" s="25">
        <f t="shared" si="84"/>
        <v>-0.008589287508567967</v>
      </c>
      <c r="D117" s="25">
        <f t="shared" si="84"/>
        <v>0.07944653404556923</v>
      </c>
      <c r="E117" s="25">
        <f t="shared" si="84"/>
        <v>0.13470262222267254</v>
      </c>
      <c r="F117" s="25">
        <f t="shared" si="84"/>
        <v>0.15890204018168197</v>
      </c>
      <c r="G117" s="25">
        <f t="shared" si="84"/>
        <v>0.1583892154268351</v>
      </c>
      <c r="H117" s="25">
        <f t="shared" si="84"/>
        <v>0.1389436689013206</v>
      </c>
      <c r="I117" s="25">
        <f t="shared" si="84"/>
        <v>0.10495070422340491</v>
      </c>
      <c r="J117" s="25">
        <f t="shared" si="84"/>
        <v>0.05998260024861779</v>
      </c>
      <c r="K117" s="25">
        <f t="shared" si="84"/>
        <v>0.007283718120675076</v>
      </c>
      <c r="L117" s="25">
        <f t="shared" si="84"/>
        <v>-0.050075256376160976</v>
      </c>
      <c r="M117" s="25">
        <f t="shared" si="84"/>
        <v>-0.10923872826478606</v>
      </c>
      <c r="N117" s="25">
        <f t="shared" si="84"/>
        <v>-0.16766317056055818</v>
      </c>
      <c r="O117" s="25">
        <f t="shared" si="84"/>
        <v>-0.22318829789999262</v>
      </c>
      <c r="P117" s="25">
        <f t="shared" si="84"/>
        <v>-0.27404436020737544</v>
      </c>
      <c r="Q117" s="25">
        <f t="shared" si="84"/>
        <v>-0.3187827207361806</v>
      </c>
      <c r="R117" s="25">
        <f t="shared" si="84"/>
        <v>-0.35613137098238645</v>
      </c>
      <c r="S117" s="25">
        <f t="shared" si="84"/>
        <v>-0.38478207912833706</v>
      </c>
      <c r="T117" s="25">
        <f t="shared" si="84"/>
        <v>-0.40311162928538546</v>
      </c>
      <c r="U117" s="25">
        <f t="shared" si="84"/>
        <v>-0.4088347551551195</v>
      </c>
      <c r="V117" s="25">
        <f t="shared" si="84"/>
        <v>-0.39861387048181735</v>
      </c>
      <c r="W117" s="25">
        <f t="shared" si="84"/>
        <v>-0.36781116286952537</v>
      </c>
      <c r="X117" s="25">
        <f t="shared" si="84"/>
        <v>-0.3111005824009152</v>
      </c>
      <c r="Y117" s="25">
        <f t="shared" si="84"/>
        <v>-0.22566640722059328</v>
      </c>
      <c r="Z117" s="25">
        <f t="shared" si="84"/>
        <v>-0.11810975213411637</v>
      </c>
    </row>
    <row r="118" spans="1:26" ht="15.75">
      <c r="A118" s="120" t="s">
        <v>87</v>
      </c>
      <c r="B118" s="25">
        <f>B117-$B$117</f>
        <v>0</v>
      </c>
      <c r="C118" s="25">
        <f aca="true" t="shared" si="85" ref="C118:Z118">C117-$B$117</f>
        <v>0.1095204646255484</v>
      </c>
      <c r="D118" s="25">
        <f t="shared" si="85"/>
        <v>0.1975562861796856</v>
      </c>
      <c r="E118" s="25">
        <f t="shared" si="85"/>
        <v>0.25281237435678894</v>
      </c>
      <c r="F118" s="25">
        <f t="shared" si="85"/>
        <v>0.2770117923157983</v>
      </c>
      <c r="G118" s="25">
        <f t="shared" si="85"/>
        <v>0.2764989675609515</v>
      </c>
      <c r="H118" s="25">
        <f t="shared" si="85"/>
        <v>0.25705342103543694</v>
      </c>
      <c r="I118" s="25">
        <f t="shared" si="85"/>
        <v>0.22306045635752128</v>
      </c>
      <c r="J118" s="25">
        <f t="shared" si="85"/>
        <v>0.17809235238273416</v>
      </c>
      <c r="K118" s="25">
        <f t="shared" si="85"/>
        <v>0.12539347025479144</v>
      </c>
      <c r="L118" s="25">
        <f t="shared" si="85"/>
        <v>0.0680344957579554</v>
      </c>
      <c r="M118" s="25">
        <f t="shared" si="85"/>
        <v>0.008871023869330308</v>
      </c>
      <c r="N118" s="25">
        <f t="shared" si="85"/>
        <v>-0.049553418426441814</v>
      </c>
      <c r="O118" s="25">
        <f t="shared" si="85"/>
        <v>-0.10507854576587625</v>
      </c>
      <c r="P118" s="25">
        <f t="shared" si="85"/>
        <v>-0.15593460807325907</v>
      </c>
      <c r="Q118" s="25">
        <f t="shared" si="85"/>
        <v>-0.2006729686020642</v>
      </c>
      <c r="R118" s="25">
        <f t="shared" si="85"/>
        <v>-0.23802161884827008</v>
      </c>
      <c r="S118" s="25">
        <f t="shared" si="85"/>
        <v>-0.2666723269942207</v>
      </c>
      <c r="T118" s="25">
        <f t="shared" si="85"/>
        <v>-0.2850018771512691</v>
      </c>
      <c r="U118" s="25">
        <f t="shared" si="85"/>
        <v>-0.2907250030210031</v>
      </c>
      <c r="V118" s="25">
        <f t="shared" si="85"/>
        <v>-0.28050411834770095</v>
      </c>
      <c r="W118" s="25">
        <f t="shared" si="85"/>
        <v>-0.249701410735409</v>
      </c>
      <c r="X118" s="25">
        <f t="shared" si="85"/>
        <v>-0.19299083026679884</v>
      </c>
      <c r="Y118" s="25">
        <f t="shared" si="85"/>
        <v>-0.10755665508647691</v>
      </c>
      <c r="Z118" s="25">
        <f t="shared" si="85"/>
        <v>0</v>
      </c>
    </row>
    <row r="119" spans="1:26" ht="15.75">
      <c r="A119" s="120" t="s">
        <v>81</v>
      </c>
      <c r="B119" s="25">
        <f>B114-$B$114</f>
        <v>0</v>
      </c>
      <c r="C119" s="25">
        <f aca="true" t="shared" si="86" ref="C119:Y119">C114-$B$114</f>
        <v>-0.21463458492091952</v>
      </c>
      <c r="D119" s="25">
        <f t="shared" si="86"/>
        <v>-0.3829314776935839</v>
      </c>
      <c r="E119" s="25">
        <f t="shared" si="86"/>
        <v>-0.48599682304805153</v>
      </c>
      <c r="F119" s="25">
        <f t="shared" si="86"/>
        <v>-0.5304102520937062</v>
      </c>
      <c r="G119" s="25">
        <f t="shared" si="86"/>
        <v>-0.5294739290868726</v>
      </c>
      <c r="H119" s="25">
        <f t="shared" si="86"/>
        <v>-0.4938138850015887</v>
      </c>
      <c r="I119" s="25">
        <f t="shared" si="86"/>
        <v>-0.4307757135326538</v>
      </c>
      <c r="J119" s="25">
        <f t="shared" si="86"/>
        <v>-0.3461237873156337</v>
      </c>
      <c r="K119" s="25">
        <f t="shared" si="86"/>
        <v>-0.24530391216133157</v>
      </c>
      <c r="L119" s="25">
        <f t="shared" si="86"/>
        <v>-0.13390030044775209</v>
      </c>
      <c r="M119" s="25">
        <f t="shared" si="86"/>
        <v>-0.017547706162242382</v>
      </c>
      <c r="N119" s="25">
        <f t="shared" si="86"/>
        <v>0.09839689460173093</v>
      </c>
      <c r="O119" s="25">
        <f t="shared" si="86"/>
        <v>0.20918839168363124</v>
      </c>
      <c r="P119" s="25">
        <f t="shared" si="86"/>
        <v>0.31088071838518927</v>
      </c>
      <c r="Q119" s="25">
        <f t="shared" si="86"/>
        <v>0.4002963845875053</v>
      </c>
      <c r="R119" s="25">
        <f t="shared" si="86"/>
        <v>0.4747756712889827</v>
      </c>
      <c r="S119" s="25">
        <f t="shared" si="86"/>
        <v>0.5317372097683685</v>
      </c>
      <c r="T119" s="25">
        <f t="shared" si="86"/>
        <v>0.5680761788388695</v>
      </c>
      <c r="U119" s="25">
        <f t="shared" si="86"/>
        <v>0.5794036596523033</v>
      </c>
      <c r="V119" s="25">
        <f t="shared" si="86"/>
        <v>0.5591675091001935</v>
      </c>
      <c r="W119" s="25">
        <f t="shared" si="86"/>
        <v>0.49801802115504423</v>
      </c>
      <c r="X119" s="25">
        <f t="shared" si="86"/>
        <v>0.3849538356669978</v>
      </c>
      <c r="Y119" s="25">
        <f t="shared" si="86"/>
        <v>0.21414114836184472</v>
      </c>
      <c r="Z119" s="25">
        <f>Z114-$B$114</f>
        <v>0</v>
      </c>
    </row>
    <row r="120" spans="1:26" ht="15.75">
      <c r="A120" s="120" t="s">
        <v>79</v>
      </c>
      <c r="B120" s="25">
        <f aca="true" t="shared" si="87" ref="B120:Z120">(-SIGN($B$13))*($B$16*B107-B108)/($B$16^2+1)^(1/2)</f>
        <v>-0.8527455095442081</v>
      </c>
      <c r="C120" s="25">
        <f t="shared" si="87"/>
        <v>-0.7544760814266313</v>
      </c>
      <c r="D120" s="25">
        <f t="shared" si="87"/>
        <v>-0.5205646333135774</v>
      </c>
      <c r="E120" s="25">
        <f t="shared" si="87"/>
        <v>-0.27305599266939923</v>
      </c>
      <c r="F120" s="25">
        <f t="shared" si="87"/>
        <v>-0.07468079083048311</v>
      </c>
      <c r="G120" s="25">
        <f t="shared" si="87"/>
        <v>0.07497031928874634</v>
      </c>
      <c r="H120" s="25">
        <f t="shared" si="87"/>
        <v>0.19124252119715074</v>
      </c>
      <c r="I120" s="25">
        <f t="shared" si="87"/>
        <v>0.2837417091456451</v>
      </c>
      <c r="J120" s="25">
        <f t="shared" si="87"/>
        <v>0.3555708275424169</v>
      </c>
      <c r="K120" s="25">
        <f t="shared" si="87"/>
        <v>0.40666705471789527</v>
      </c>
      <c r="L120" s="25">
        <f t="shared" si="87"/>
        <v>0.4363607453453894</v>
      </c>
      <c r="M120" s="25">
        <f t="shared" si="87"/>
        <v>0.4448464675084476</v>
      </c>
      <c r="N120" s="25">
        <f t="shared" si="87"/>
        <v>0.43377885152924633</v>
      </c>
      <c r="O120" s="25">
        <f t="shared" si="87"/>
        <v>0.40602098929086494</v>
      </c>
      <c r="P120" s="25">
        <f t="shared" si="87"/>
        <v>0.3647914525901589</v>
      </c>
      <c r="Q120" s="25">
        <f t="shared" si="87"/>
        <v>0.31270575089128677</v>
      </c>
      <c r="R120" s="25">
        <f t="shared" si="87"/>
        <v>0.2510290832005952</v>
      </c>
      <c r="S120" s="25">
        <f t="shared" si="87"/>
        <v>0.179081983576813</v>
      </c>
      <c r="T120" s="25">
        <f t="shared" si="87"/>
        <v>0.09360929594932524</v>
      </c>
      <c r="U120" s="25">
        <f t="shared" si="87"/>
        <v>-0.011881785343639336</v>
      </c>
      <c r="V120" s="25">
        <f t="shared" si="87"/>
        <v>-0.1472458029423991</v>
      </c>
      <c r="W120" s="25">
        <f t="shared" si="87"/>
        <v>-0.3229761033410327</v>
      </c>
      <c r="X120" s="25">
        <f t="shared" si="87"/>
        <v>-0.5378874055693955</v>
      </c>
      <c r="Y120" s="25">
        <f t="shared" si="87"/>
        <v>-0.7487481473802238</v>
      </c>
      <c r="Z120" s="25">
        <f t="shared" si="87"/>
        <v>-0.8497703557074896</v>
      </c>
    </row>
    <row r="121" spans="1:26" ht="15.75">
      <c r="A121" s="120" t="s">
        <v>80</v>
      </c>
      <c r="B121" s="25">
        <f aca="true" t="shared" si="88" ref="B121:Z121">(-SIGN($B$13))*($B$16*B109-B110)/($B$16^2+1)^(1/2)</f>
        <v>-0.01431288621323985</v>
      </c>
      <c r="C121" s="25">
        <f t="shared" si="88"/>
        <v>0.7138402946244728</v>
      </c>
      <c r="D121" s="25">
        <f t="shared" si="88"/>
        <v>0.9932940947241733</v>
      </c>
      <c r="E121" s="25">
        <f t="shared" si="88"/>
        <v>0.8634467738910678</v>
      </c>
      <c r="F121" s="25">
        <f t="shared" si="88"/>
        <v>0.6518624488755187</v>
      </c>
      <c r="G121" s="25">
        <f t="shared" si="88"/>
        <v>0.49635180230058246</v>
      </c>
      <c r="H121" s="25">
        <f t="shared" si="88"/>
        <v>0.39268639432289926</v>
      </c>
      <c r="I121" s="25">
        <f t="shared" si="88"/>
        <v>0.31144228387783784</v>
      </c>
      <c r="J121" s="25">
        <f t="shared" si="88"/>
        <v>0.23399511573265877</v>
      </c>
      <c r="K121" s="25">
        <f t="shared" si="88"/>
        <v>0.15370511886736427</v>
      </c>
      <c r="L121" s="25">
        <f t="shared" si="88"/>
        <v>0.0717143131689212</v>
      </c>
      <c r="M121" s="25">
        <f t="shared" si="88"/>
        <v>-0.0067519231562732825</v>
      </c>
      <c r="N121" s="25">
        <f t="shared" si="88"/>
        <v>-0.07604939213131119</v>
      </c>
      <c r="O121" s="25">
        <f t="shared" si="88"/>
        <v>-0.13313677623717776</v>
      </c>
      <c r="P121" s="25">
        <f t="shared" si="88"/>
        <v>-0.17864328066118965</v>
      </c>
      <c r="Q121" s="25">
        <f t="shared" si="88"/>
        <v>-0.21630965692999587</v>
      </c>
      <c r="R121" s="25">
        <f t="shared" si="88"/>
        <v>-0.25231997577666465</v>
      </c>
      <c r="S121" s="25">
        <f t="shared" si="88"/>
        <v>-0.295270675842901</v>
      </c>
      <c r="T121" s="25">
        <f t="shared" si="88"/>
        <v>-0.356366613975546</v>
      </c>
      <c r="U121" s="25">
        <f t="shared" si="88"/>
        <v>-0.4488216768347179</v>
      </c>
      <c r="V121" s="25">
        <f t="shared" si="88"/>
        <v>-0.5833257007346715</v>
      </c>
      <c r="W121" s="25">
        <f t="shared" si="88"/>
        <v>-0.7486523067893749</v>
      </c>
      <c r="X121" s="25">
        <f t="shared" si="88"/>
        <v>-0.8557653436188262</v>
      </c>
      <c r="Y121" s="25">
        <f t="shared" si="88"/>
        <v>-0.6747236455853537</v>
      </c>
      <c r="Z121" s="25">
        <f t="shared" si="88"/>
        <v>-0.028574459446861718</v>
      </c>
    </row>
    <row r="122" spans="1:26" ht="15.75">
      <c r="A122" s="120" t="s">
        <v>82</v>
      </c>
      <c r="B122" s="25">
        <f>B120/$D$10/COS(B116)</f>
        <v>-0.43081253904774947</v>
      </c>
      <c r="C122" s="25">
        <f aca="true" t="shared" si="89" ref="C122:Z122">C120/$D$10/COS(C116)</f>
        <v>-0.3896631358565043</v>
      </c>
      <c r="D122" s="25">
        <f t="shared" si="89"/>
        <v>-0.276208957392162</v>
      </c>
      <c r="E122" s="25">
        <f t="shared" si="89"/>
        <v>-0.14801105872266584</v>
      </c>
      <c r="F122" s="25">
        <f t="shared" si="89"/>
        <v>-0.04090741117358453</v>
      </c>
      <c r="G122" s="25">
        <f t="shared" si="89"/>
        <v>0.04105658946291137</v>
      </c>
      <c r="H122" s="25">
        <f t="shared" si="89"/>
        <v>0.10384907990351198</v>
      </c>
      <c r="I122" s="25">
        <f t="shared" si="89"/>
        <v>0.15197773296191786</v>
      </c>
      <c r="J122" s="25">
        <f t="shared" si="89"/>
        <v>0.18740424444995887</v>
      </c>
      <c r="K122" s="25">
        <f t="shared" si="89"/>
        <v>0.2109236014096814</v>
      </c>
      <c r="L122" s="25">
        <f t="shared" si="89"/>
        <v>0.22316360504338334</v>
      </c>
      <c r="M122" s="25">
        <f t="shared" si="89"/>
        <v>0.22503699877539643</v>
      </c>
      <c r="N122" s="25">
        <f t="shared" si="89"/>
        <v>0.21785398356747318</v>
      </c>
      <c r="O122" s="25">
        <f t="shared" si="89"/>
        <v>0.2031619143754541</v>
      </c>
      <c r="P122" s="25">
        <f t="shared" si="89"/>
        <v>0.18240940129767616</v>
      </c>
      <c r="Q122" s="25">
        <f t="shared" si="89"/>
        <v>0.15660706607294156</v>
      </c>
      <c r="R122" s="25">
        <f t="shared" si="89"/>
        <v>0.12607506670513366</v>
      </c>
      <c r="S122" s="25">
        <f t="shared" si="89"/>
        <v>0.0902224277475747</v>
      </c>
      <c r="T122" s="25">
        <f t="shared" si="89"/>
        <v>0.04727589268128624</v>
      </c>
      <c r="U122" s="25">
        <f t="shared" si="89"/>
        <v>-0.006005695560607547</v>
      </c>
      <c r="V122" s="25">
        <f t="shared" si="89"/>
        <v>-0.07431736091572382</v>
      </c>
      <c r="W122" s="25">
        <f t="shared" si="89"/>
        <v>-0.16239976191028715</v>
      </c>
      <c r="X122" s="25">
        <f t="shared" si="89"/>
        <v>-0.26927088245833664</v>
      </c>
      <c r="Y122" s="25">
        <f t="shared" si="89"/>
        <v>-0.37461859665933306</v>
      </c>
      <c r="Z122" s="25">
        <f t="shared" si="89"/>
        <v>-0.4293094721138181</v>
      </c>
    </row>
    <row r="123" spans="1:26" ht="15.75">
      <c r="A123" s="120" t="s">
        <v>83</v>
      </c>
      <c r="B123" s="25">
        <f>-B120/$D$10/COS(B116)</f>
        <v>0.43081253904774947</v>
      </c>
      <c r="C123" s="25">
        <f aca="true" t="shared" si="90" ref="C123:Z123">-C120/$D$10/COS(C116)</f>
        <v>0.3896631358565043</v>
      </c>
      <c r="D123" s="25">
        <f t="shared" si="90"/>
        <v>0.276208957392162</v>
      </c>
      <c r="E123" s="25">
        <f t="shared" si="90"/>
        <v>0.14801105872266584</v>
      </c>
      <c r="F123" s="25">
        <f t="shared" si="90"/>
        <v>0.04090741117358453</v>
      </c>
      <c r="G123" s="25">
        <f t="shared" si="90"/>
        <v>-0.04105658946291137</v>
      </c>
      <c r="H123" s="25">
        <f t="shared" si="90"/>
        <v>-0.10384907990351198</v>
      </c>
      <c r="I123" s="25">
        <f t="shared" si="90"/>
        <v>-0.15197773296191786</v>
      </c>
      <c r="J123" s="25">
        <f t="shared" si="90"/>
        <v>-0.18740424444995887</v>
      </c>
      <c r="K123" s="25">
        <f t="shared" si="90"/>
        <v>-0.2109236014096814</v>
      </c>
      <c r="L123" s="25">
        <f t="shared" si="90"/>
        <v>-0.22316360504338334</v>
      </c>
      <c r="M123" s="25">
        <f t="shared" si="90"/>
        <v>-0.22503699877539643</v>
      </c>
      <c r="N123" s="25">
        <f t="shared" si="90"/>
        <v>-0.21785398356747318</v>
      </c>
      <c r="O123" s="25">
        <f t="shared" si="90"/>
        <v>-0.2031619143754541</v>
      </c>
      <c r="P123" s="25">
        <f t="shared" si="90"/>
        <v>-0.18240940129767616</v>
      </c>
      <c r="Q123" s="25">
        <f t="shared" si="90"/>
        <v>-0.15660706607294156</v>
      </c>
      <c r="R123" s="25">
        <f t="shared" si="90"/>
        <v>-0.12607506670513366</v>
      </c>
      <c r="S123" s="25">
        <f t="shared" si="90"/>
        <v>-0.0902224277475747</v>
      </c>
      <c r="T123" s="25">
        <f t="shared" si="90"/>
        <v>-0.04727589268128624</v>
      </c>
      <c r="U123" s="25">
        <f t="shared" si="90"/>
        <v>0.006005695560607547</v>
      </c>
      <c r="V123" s="25">
        <f t="shared" si="90"/>
        <v>0.07431736091572382</v>
      </c>
      <c r="W123" s="25">
        <f t="shared" si="90"/>
        <v>0.16239976191028715</v>
      </c>
      <c r="X123" s="25">
        <f t="shared" si="90"/>
        <v>0.26927088245833664</v>
      </c>
      <c r="Y123" s="25">
        <f t="shared" si="90"/>
        <v>0.37461859665933306</v>
      </c>
      <c r="Z123" s="25">
        <f t="shared" si="90"/>
        <v>0.4293094721138181</v>
      </c>
    </row>
    <row r="124" spans="1:26" ht="15.75">
      <c r="A124" s="120" t="s">
        <v>85</v>
      </c>
      <c r="B124" s="25">
        <f>-B121/$D$10/COS(B116)</f>
        <v>0.007230962557543343</v>
      </c>
      <c r="C124" s="25">
        <f aca="true" t="shared" si="91" ref="C124:Z124">-C121/$D$10/COS(C116)</f>
        <v>-0.36867603168829194</v>
      </c>
      <c r="D124" s="25">
        <f t="shared" si="91"/>
        <v>-0.527036814893048</v>
      </c>
      <c r="E124" s="25">
        <f t="shared" si="91"/>
        <v>-0.46803466902489793</v>
      </c>
      <c r="F124" s="25">
        <f t="shared" si="91"/>
        <v>-0.3570664548170006</v>
      </c>
      <c r="G124" s="25">
        <f t="shared" si="91"/>
        <v>-0.27182106691774677</v>
      </c>
      <c r="H124" s="25">
        <f t="shared" si="91"/>
        <v>-0.21323772812543504</v>
      </c>
      <c r="I124" s="25">
        <f t="shared" si="91"/>
        <v>-0.1668147146739717</v>
      </c>
      <c r="J124" s="25">
        <f t="shared" si="91"/>
        <v>-0.12332754678427163</v>
      </c>
      <c r="K124" s="25">
        <f t="shared" si="91"/>
        <v>-0.0797213269442183</v>
      </c>
      <c r="L124" s="25">
        <f t="shared" si="91"/>
        <v>-0.03667613283435724</v>
      </c>
      <c r="M124" s="25">
        <f t="shared" si="91"/>
        <v>0.003415633559057064</v>
      </c>
      <c r="N124" s="25">
        <f t="shared" si="91"/>
        <v>0.038193800747277705</v>
      </c>
      <c r="O124" s="25">
        <f t="shared" si="91"/>
        <v>0.06661803957810823</v>
      </c>
      <c r="P124" s="25">
        <f t="shared" si="91"/>
        <v>0.08932833716329082</v>
      </c>
      <c r="Q124" s="25">
        <f t="shared" si="91"/>
        <v>0.10833066113590012</v>
      </c>
      <c r="R124" s="25">
        <f t="shared" si="91"/>
        <v>0.1267233954388488</v>
      </c>
      <c r="S124" s="25">
        <f t="shared" si="91"/>
        <v>0.148758890677504</v>
      </c>
      <c r="T124" s="25">
        <f t="shared" si="91"/>
        <v>0.17997731557153876</v>
      </c>
      <c r="U124" s="25">
        <f t="shared" si="91"/>
        <v>0.22685869792401797</v>
      </c>
      <c r="V124" s="25">
        <f t="shared" si="91"/>
        <v>0.29441400546998675</v>
      </c>
      <c r="W124" s="25">
        <f t="shared" si="91"/>
        <v>0.3764394799444452</v>
      </c>
      <c r="X124" s="25">
        <f t="shared" si="91"/>
        <v>0.4284032064472157</v>
      </c>
      <c r="Y124" s="25">
        <f t="shared" si="91"/>
        <v>0.337582171156542</v>
      </c>
      <c r="Z124" s="25">
        <f t="shared" si="91"/>
        <v>0.014436001466368623</v>
      </c>
    </row>
    <row r="125" spans="1:26" ht="15.75">
      <c r="A125" s="120" t="s">
        <v>86</v>
      </c>
      <c r="B125" s="1">
        <f>-B120/$D$10/(COS(B116)^2)*SIN(B116)*B122</f>
        <v>0.0268537854670237</v>
      </c>
      <c r="C125" s="1">
        <f aca="true" t="shared" si="92" ref="C125:Z125">-C120/$D$10/(COS(C116)^2)*SIN(C116)*C122</f>
        <v>0.03929006302120042</v>
      </c>
      <c r="D125" s="1">
        <f t="shared" si="92"/>
        <v>0.027094071755328325</v>
      </c>
      <c r="E125" s="1">
        <f t="shared" si="92"/>
        <v>0.009172050100152488</v>
      </c>
      <c r="F125" s="1">
        <f t="shared" si="92"/>
        <v>0.0007487100791855602</v>
      </c>
      <c r="G125" s="1">
        <f t="shared" si="92"/>
        <v>0.0007531434783788337</v>
      </c>
      <c r="H125" s="1">
        <f t="shared" si="92"/>
        <v>0.00456911804660372</v>
      </c>
      <c r="I125" s="1">
        <f t="shared" si="92"/>
        <v>0.008872317254208294</v>
      </c>
      <c r="J125" s="1">
        <f t="shared" si="92"/>
        <v>0.011708010248645852</v>
      </c>
      <c r="K125" s="1">
        <f t="shared" si="92"/>
        <v>0.01226872306009008</v>
      </c>
      <c r="L125" s="1">
        <f t="shared" si="92"/>
        <v>0.010704717969957025</v>
      </c>
      <c r="M125" s="1">
        <f t="shared" si="92"/>
        <v>0.007786426647765967</v>
      </c>
      <c r="N125" s="1">
        <f t="shared" si="92"/>
        <v>0.004480982678164937</v>
      </c>
      <c r="O125" s="1">
        <f t="shared" si="92"/>
        <v>0.0015944560279918703</v>
      </c>
      <c r="P125" s="1">
        <f t="shared" si="92"/>
        <v>-0.00040744965403591966</v>
      </c>
      <c r="Q125" s="1">
        <f t="shared" si="92"/>
        <v>-0.0013990749366949724</v>
      </c>
      <c r="R125" s="1">
        <f t="shared" si="92"/>
        <v>-0.0015038629248860956</v>
      </c>
      <c r="S125" s="1">
        <f t="shared" si="92"/>
        <v>-0.001006167538741548</v>
      </c>
      <c r="T125" s="1">
        <f t="shared" si="92"/>
        <v>-0.0003179535202962615</v>
      </c>
      <c r="U125" s="1">
        <f t="shared" si="92"/>
        <v>-5.341879051320628E-06</v>
      </c>
      <c r="V125" s="1">
        <f t="shared" si="92"/>
        <v>-0.0007603862688552057</v>
      </c>
      <c r="W125" s="1">
        <f t="shared" si="92"/>
        <v>-0.0028064421971510734</v>
      </c>
      <c r="X125" s="1">
        <f t="shared" si="92"/>
        <v>-0.0035775712853943873</v>
      </c>
      <c r="Y125" s="1">
        <f t="shared" si="92"/>
        <v>0.005073077703004299</v>
      </c>
      <c r="Z125" s="1">
        <f t="shared" si="92"/>
        <v>0.0266667313690245</v>
      </c>
    </row>
    <row r="126" spans="1:26" ht="15.75">
      <c r="A126" s="120" t="s">
        <v>84</v>
      </c>
      <c r="B126" s="1">
        <f>SUM(B124:B125)</f>
        <v>0.03408474802456704</v>
      </c>
      <c r="C126" s="1">
        <f aca="true" t="shared" si="93" ref="C126:Z126">SUM(C124:C125)</f>
        <v>-0.3293859686670915</v>
      </c>
      <c r="D126" s="1">
        <f t="shared" si="93"/>
        <v>-0.4999427431377197</v>
      </c>
      <c r="E126" s="1">
        <f t="shared" si="93"/>
        <v>-0.45886261892474545</v>
      </c>
      <c r="F126" s="1">
        <f t="shared" si="93"/>
        <v>-0.3563177447378151</v>
      </c>
      <c r="G126" s="1">
        <f t="shared" si="93"/>
        <v>-0.2710679234393679</v>
      </c>
      <c r="H126" s="1">
        <f t="shared" si="93"/>
        <v>-0.2086686100788313</v>
      </c>
      <c r="I126" s="1">
        <f t="shared" si="93"/>
        <v>-0.1579423974197634</v>
      </c>
      <c r="J126" s="1">
        <f t="shared" si="93"/>
        <v>-0.11161953653562579</v>
      </c>
      <c r="K126" s="1">
        <f t="shared" si="93"/>
        <v>-0.06745260388412821</v>
      </c>
      <c r="L126" s="1">
        <f t="shared" si="93"/>
        <v>-0.025971414864400216</v>
      </c>
      <c r="M126" s="1">
        <f t="shared" si="93"/>
        <v>0.01120206020682303</v>
      </c>
      <c r="N126" s="1">
        <f t="shared" si="93"/>
        <v>0.04267478342544264</v>
      </c>
      <c r="O126" s="1">
        <f t="shared" si="93"/>
        <v>0.0682124956061001</v>
      </c>
      <c r="P126" s="1">
        <f t="shared" si="93"/>
        <v>0.0889208875092549</v>
      </c>
      <c r="Q126" s="1">
        <f t="shared" si="93"/>
        <v>0.10693158619920515</v>
      </c>
      <c r="R126" s="1">
        <f t="shared" si="93"/>
        <v>0.1252195325139627</v>
      </c>
      <c r="S126" s="1">
        <f t="shared" si="93"/>
        <v>0.14775272313876245</v>
      </c>
      <c r="T126" s="1">
        <f t="shared" si="93"/>
        <v>0.1796593620512425</v>
      </c>
      <c r="U126" s="1">
        <f t="shared" si="93"/>
        <v>0.22685335604496665</v>
      </c>
      <c r="V126" s="1">
        <f t="shared" si="93"/>
        <v>0.29365361920113153</v>
      </c>
      <c r="W126" s="1">
        <f t="shared" si="93"/>
        <v>0.3736330377472941</v>
      </c>
      <c r="X126" s="1">
        <f t="shared" si="93"/>
        <v>0.4248256351618213</v>
      </c>
      <c r="Y126" s="1">
        <f t="shared" si="93"/>
        <v>0.3426552488595463</v>
      </c>
      <c r="Z126" s="1">
        <f t="shared" si="93"/>
        <v>0.041102732835393126</v>
      </c>
    </row>
    <row r="127" ht="15.75" thickBot="1"/>
    <row r="128" ht="16.5" thickBot="1">
      <c r="A128" s="44" t="s">
        <v>294</v>
      </c>
    </row>
    <row r="129" spans="1:26" ht="15.75">
      <c r="A129" s="47" t="s">
        <v>68</v>
      </c>
      <c r="B129" s="1">
        <f aca="true" t="shared" si="94" ref="B129:Z129">B105+($F$8-$F$7)*COS(B117-$B$117)-($G$8-$G$7)*SIN(B117-$B$117)</f>
        <v>2.376165973154184</v>
      </c>
      <c r="C129" s="1">
        <f t="shared" si="94"/>
        <v>2.1568687967935554</v>
      </c>
      <c r="D129" s="1">
        <f t="shared" si="94"/>
        <v>1.9681767425150871</v>
      </c>
      <c r="E129" s="1">
        <f t="shared" si="94"/>
        <v>1.8408597073997828</v>
      </c>
      <c r="F129" s="1">
        <f t="shared" si="94"/>
        <v>1.782052255813388</v>
      </c>
      <c r="G129" s="1">
        <f t="shared" si="94"/>
        <v>1.7833215664186717</v>
      </c>
      <c r="H129" s="1">
        <f t="shared" si="94"/>
        <v>1.8307067685645357</v>
      </c>
      <c r="I129" s="1">
        <f t="shared" si="94"/>
        <v>1.9104722464252464</v>
      </c>
      <c r="J129" s="1">
        <f t="shared" si="94"/>
        <v>2.011172844493898</v>
      </c>
      <c r="K129" s="1">
        <f t="shared" si="94"/>
        <v>2.1238424732722407</v>
      </c>
      <c r="L129" s="1">
        <f t="shared" si="94"/>
        <v>2.241543628716969</v>
      </c>
      <c r="M129" s="1">
        <f t="shared" si="94"/>
        <v>2.358868995678637</v>
      </c>
      <c r="N129" s="1">
        <f t="shared" si="94"/>
        <v>2.471582702685315</v>
      </c>
      <c r="O129" s="1">
        <f t="shared" si="94"/>
        <v>2.576388124233313</v>
      </c>
      <c r="P129" s="1">
        <f t="shared" si="94"/>
        <v>2.670740532105944</v>
      </c>
      <c r="Q129" s="1">
        <f t="shared" si="94"/>
        <v>2.752628411448083</v>
      </c>
      <c r="R129" s="1">
        <f t="shared" si="94"/>
        <v>2.820279679565464</v>
      </c>
      <c r="S129" s="1">
        <f t="shared" si="94"/>
        <v>2.8717740602954085</v>
      </c>
      <c r="T129" s="1">
        <f t="shared" si="94"/>
        <v>2.904545680663921</v>
      </c>
      <c r="U129" s="1">
        <f t="shared" si="94"/>
        <v>2.9147515189617947</v>
      </c>
      <c r="V129" s="1">
        <f t="shared" si="94"/>
        <v>2.8965161875776033</v>
      </c>
      <c r="W129" s="1">
        <f t="shared" si="94"/>
        <v>2.841312599308263</v>
      </c>
      <c r="X129" s="1">
        <f t="shared" si="94"/>
        <v>2.7386356745098857</v>
      </c>
      <c r="Y129" s="1">
        <f t="shared" si="94"/>
        <v>2.581019841811637</v>
      </c>
      <c r="Z129" s="1">
        <f t="shared" si="94"/>
        <v>2.376165973154184</v>
      </c>
    </row>
    <row r="130" spans="1:26" ht="15.75">
      <c r="A130" s="48" t="s">
        <v>69</v>
      </c>
      <c r="B130" s="1">
        <f aca="true" t="shared" si="95" ref="B130:Z130">B106+($F$8-$F$7)*SIN(B117-$B$117)+($G$8-$G$7)*COS(B117-$B$117)</f>
        <v>-1.2286801130895886</v>
      </c>
      <c r="C130" s="1">
        <f t="shared" si="95"/>
        <v>-1.6143317583029988</v>
      </c>
      <c r="D130" s="1">
        <f t="shared" si="95"/>
        <v>-1.9122394033900523</v>
      </c>
      <c r="E130" s="1">
        <f t="shared" si="95"/>
        <v>-2.0915271007906204</v>
      </c>
      <c r="F130" s="1">
        <f t="shared" si="95"/>
        <v>-2.1677300219917126</v>
      </c>
      <c r="G130" s="1">
        <f t="shared" si="95"/>
        <v>-2.166131426931053</v>
      </c>
      <c r="H130" s="1">
        <f t="shared" si="95"/>
        <v>-2.1049922651114876</v>
      </c>
      <c r="I130" s="1">
        <f t="shared" si="95"/>
        <v>-1.9958415257313578</v>
      </c>
      <c r="J130" s="1">
        <f t="shared" si="95"/>
        <v>-1.8475479239845582</v>
      </c>
      <c r="K130" s="1">
        <f t="shared" si="95"/>
        <v>-1.6689848295088952</v>
      </c>
      <c r="L130" s="1">
        <f t="shared" si="95"/>
        <v>-1.469855747821075</v>
      </c>
      <c r="M130" s="1">
        <f t="shared" si="95"/>
        <v>-1.2603788463647259</v>
      </c>
      <c r="N130" s="1">
        <f t="shared" si="95"/>
        <v>-1.0505110262968869</v>
      </c>
      <c r="O130" s="1">
        <f t="shared" si="95"/>
        <v>-0.8491939585213473</v>
      </c>
      <c r="P130" s="1">
        <f t="shared" si="95"/>
        <v>-0.6639163228855439</v>
      </c>
      <c r="Q130" s="1">
        <f t="shared" si="95"/>
        <v>-0.5007182952756537</v>
      </c>
      <c r="R130" s="1">
        <f t="shared" si="95"/>
        <v>-0.3646321350227015</v>
      </c>
      <c r="S130" s="1">
        <f t="shared" si="95"/>
        <v>-0.26048816477958997</v>
      </c>
      <c r="T130" s="1">
        <f t="shared" si="95"/>
        <v>-0.19402755579329511</v>
      </c>
      <c r="U130" s="1">
        <f t="shared" si="95"/>
        <v>-0.17330805978289257</v>
      </c>
      <c r="V130" s="1">
        <f t="shared" si="95"/>
        <v>-0.210321926764368</v>
      </c>
      <c r="W130" s="1">
        <f t="shared" si="95"/>
        <v>-0.3221433864960711</v>
      </c>
      <c r="X130" s="1">
        <f t="shared" si="95"/>
        <v>-0.5287365036015185</v>
      </c>
      <c r="Y130" s="1">
        <f t="shared" si="95"/>
        <v>-0.8401800814733853</v>
      </c>
      <c r="Z130" s="1">
        <f t="shared" si="95"/>
        <v>-1.2286801130895886</v>
      </c>
    </row>
    <row r="131" spans="1:26" ht="15.75">
      <c r="A131" s="48" t="s">
        <v>70</v>
      </c>
      <c r="B131" s="1">
        <f>B107-B123*(B130-B106)</f>
        <v>-0.8383164594895051</v>
      </c>
      <c r="C131" s="1">
        <f aca="true" t="shared" si="96" ref="C131:Z131">C107-C123*(C130-C106)</f>
        <v>-0.8061872299282755</v>
      </c>
      <c r="D131" s="1">
        <f t="shared" si="96"/>
        <v>-0.6162157640972974</v>
      </c>
      <c r="E131" s="1">
        <f t="shared" si="96"/>
        <v>-0.35326269776763575</v>
      </c>
      <c r="F131" s="1">
        <f t="shared" si="96"/>
        <v>-0.1012937022555094</v>
      </c>
      <c r="G131" s="1">
        <f t="shared" si="96"/>
        <v>0.10157818267675797</v>
      </c>
      <c r="H131" s="1">
        <f t="shared" si="96"/>
        <v>0.24937093035252494</v>
      </c>
      <c r="I131" s="1">
        <f t="shared" si="96"/>
        <v>0.34892175763139566</v>
      </c>
      <c r="J131" s="1">
        <f t="shared" si="96"/>
        <v>0.4100197715583308</v>
      </c>
      <c r="K131" s="1">
        <f t="shared" si="96"/>
        <v>0.44140165428474915</v>
      </c>
      <c r="L131" s="1">
        <f t="shared" si="96"/>
        <v>0.4496674740577876</v>
      </c>
      <c r="M131" s="1">
        <f t="shared" si="96"/>
        <v>0.4396793072777854</v>
      </c>
      <c r="N131" s="1">
        <f t="shared" si="96"/>
        <v>0.41532009506875667</v>
      </c>
      <c r="O131" s="1">
        <f t="shared" si="96"/>
        <v>0.37987120317201595</v>
      </c>
      <c r="P131" s="1">
        <f t="shared" si="96"/>
        <v>0.3359036985213297</v>
      </c>
      <c r="Q131" s="1">
        <f t="shared" si="96"/>
        <v>0.2849756637872663</v>
      </c>
      <c r="R131" s="1">
        <f t="shared" si="96"/>
        <v>0.22734352167916494</v>
      </c>
      <c r="S131" s="1">
        <f t="shared" si="96"/>
        <v>0.16163440403634982</v>
      </c>
      <c r="T131" s="1">
        <f t="shared" si="96"/>
        <v>0.08435703114811102</v>
      </c>
      <c r="U131" s="1">
        <f t="shared" si="96"/>
        <v>-0.010703192307210388</v>
      </c>
      <c r="V131" s="1">
        <f t="shared" si="96"/>
        <v>-0.13273735666056644</v>
      </c>
      <c r="W131" s="1">
        <f t="shared" si="96"/>
        <v>-0.292055268111589</v>
      </c>
      <c r="X131" s="1">
        <f t="shared" si="96"/>
        <v>-0.4909489475083286</v>
      </c>
      <c r="Y131" s="1">
        <f t="shared" si="96"/>
        <v>-0.6999046115235548</v>
      </c>
      <c r="Z131" s="1">
        <f t="shared" si="96"/>
        <v>-0.8353916473352112</v>
      </c>
    </row>
    <row r="132" spans="1:26" ht="15.75">
      <c r="A132" s="48" t="s">
        <v>71</v>
      </c>
      <c r="B132" s="1">
        <f>B108+B123*(B129-B105)</f>
        <v>-1.5410280096436246</v>
      </c>
      <c r="C132" s="1">
        <f aca="true" t="shared" si="97" ref="C132:Z132">C108+C123*(C129-C105)</f>
        <v>-1.346165014372694</v>
      </c>
      <c r="D132" s="1">
        <f t="shared" si="97"/>
        <v>-0.9127418141137136</v>
      </c>
      <c r="E132" s="1">
        <f t="shared" si="97"/>
        <v>-0.4707202756748407</v>
      </c>
      <c r="F132" s="1">
        <f t="shared" si="97"/>
        <v>-0.12748892204425144</v>
      </c>
      <c r="G132" s="1">
        <f t="shared" si="97"/>
        <v>0.128012179577897</v>
      </c>
      <c r="H132" s="1">
        <f t="shared" si="97"/>
        <v>0.3291589143502043</v>
      </c>
      <c r="I132" s="1">
        <f t="shared" si="97"/>
        <v>0.49400876255568393</v>
      </c>
      <c r="J132" s="1">
        <f t="shared" si="97"/>
        <v>0.6263635497368832</v>
      </c>
      <c r="K132" s="1">
        <f t="shared" si="97"/>
        <v>0.7237522134105614</v>
      </c>
      <c r="L132" s="1">
        <f t="shared" si="97"/>
        <v>0.7830197349078163</v>
      </c>
      <c r="M132" s="1">
        <f t="shared" si="97"/>
        <v>0.8032661881883691</v>
      </c>
      <c r="N132" s="1">
        <f t="shared" si="97"/>
        <v>0.7868771410336508</v>
      </c>
      <c r="O132" s="1">
        <f t="shared" si="97"/>
        <v>0.7389015358009591</v>
      </c>
      <c r="P132" s="1">
        <f t="shared" si="97"/>
        <v>0.6653146786141535</v>
      </c>
      <c r="Q132" s="1">
        <f t="shared" si="97"/>
        <v>0.5711146317756753</v>
      </c>
      <c r="R132" s="1">
        <f t="shared" si="97"/>
        <v>0.4588523478171345</v>
      </c>
      <c r="S132" s="1">
        <f t="shared" si="97"/>
        <v>0.3274888158447026</v>
      </c>
      <c r="T132" s="1">
        <f t="shared" si="97"/>
        <v>0.17121955035056557</v>
      </c>
      <c r="U132" s="1">
        <f t="shared" si="97"/>
        <v>-0.02173394695887885</v>
      </c>
      <c r="V132" s="1">
        <f t="shared" si="97"/>
        <v>-0.26931327738060473</v>
      </c>
      <c r="W132" s="1">
        <f t="shared" si="97"/>
        <v>-0.5904829600255179</v>
      </c>
      <c r="X132" s="1">
        <f t="shared" si="97"/>
        <v>-0.9821746634473796</v>
      </c>
      <c r="Y132" s="1">
        <f t="shared" si="97"/>
        <v>-1.3627833687812927</v>
      </c>
      <c r="Z132" s="1">
        <f t="shared" si="97"/>
        <v>-1.5356514988979597</v>
      </c>
    </row>
    <row r="133" spans="1:26" ht="15.75">
      <c r="A133" s="48" t="s">
        <v>72</v>
      </c>
      <c r="B133" s="1">
        <f>B109-B126*(B130-B106)-B123^2*(B129-B105)</f>
        <v>-0.2289170973541932</v>
      </c>
      <c r="C133" s="1">
        <f aca="true" t="shared" si="98" ref="C133:Z133">C109-C126*(C130-C106)-C123^2*(C129-C105)</f>
        <v>0.4631485152816174</v>
      </c>
      <c r="D133" s="1">
        <f t="shared" si="98"/>
        <v>0.9363442531180051</v>
      </c>
      <c r="E133" s="1">
        <f t="shared" si="98"/>
        <v>1.021155614250963</v>
      </c>
      <c r="F133" s="1">
        <f t="shared" si="98"/>
        <v>0.8755414143543927</v>
      </c>
      <c r="G133" s="1">
        <f t="shared" si="98"/>
        <v>0.6638651061074912</v>
      </c>
      <c r="H133" s="1">
        <f t="shared" si="98"/>
        <v>0.4635060101030809</v>
      </c>
      <c r="I133" s="1">
        <f t="shared" si="98"/>
        <v>0.2989089710011564</v>
      </c>
      <c r="J133" s="1">
        <f t="shared" si="98"/>
        <v>0.17088222900264616</v>
      </c>
      <c r="K133" s="1">
        <f t="shared" si="98"/>
        <v>0.07175364821411669</v>
      </c>
      <c r="L133" s="1">
        <f t="shared" si="98"/>
        <v>-0.006245140112760242</v>
      </c>
      <c r="M133" s="1">
        <f t="shared" si="98"/>
        <v>-0.06788097370013631</v>
      </c>
      <c r="N133" s="1">
        <f t="shared" si="98"/>
        <v>-0.11576249713999827</v>
      </c>
      <c r="O133" s="1">
        <f t="shared" si="98"/>
        <v>-0.1523378789788985</v>
      </c>
      <c r="P133" s="1">
        <f t="shared" si="98"/>
        <v>-0.18093899121961995</v>
      </c>
      <c r="Q133" s="1">
        <f t="shared" si="98"/>
        <v>-0.20586318460623187</v>
      </c>
      <c r="R133" s="1">
        <f t="shared" si="98"/>
        <v>-0.232507903755356</v>
      </c>
      <c r="S133" s="1">
        <f t="shared" si="98"/>
        <v>-0.2679353378020231</v>
      </c>
      <c r="T133" s="1">
        <f t="shared" si="98"/>
        <v>-0.3214332416927283</v>
      </c>
      <c r="U133" s="1">
        <f t="shared" si="98"/>
        <v>-0.4043057518672032</v>
      </c>
      <c r="V133" s="1">
        <f t="shared" si="98"/>
        <v>-0.5266272068264283</v>
      </c>
      <c r="W133" s="1">
        <f t="shared" si="98"/>
        <v>-0.6827845745195691</v>
      </c>
      <c r="X133" s="1">
        <f t="shared" si="98"/>
        <v>-0.8085536698418292</v>
      </c>
      <c r="Y133" s="1">
        <f t="shared" si="98"/>
        <v>-0.7238353768110708</v>
      </c>
      <c r="Z133" s="1">
        <f t="shared" si="98"/>
        <v>-0.241440809789776</v>
      </c>
    </row>
    <row r="134" spans="1:26" ht="15.75">
      <c r="A134" s="48" t="s">
        <v>73</v>
      </c>
      <c r="B134" s="1">
        <f>B110+B126*(B129-B105)-B123^2*(B130-B106)</f>
        <v>0.03170257103075857</v>
      </c>
      <c r="C134" s="1">
        <f aca="true" t="shared" si="99" ref="C134:Z134">C110+C126*(C129-C105)-C123^2*(C130-C106)</f>
        <v>1.3539434366378824</v>
      </c>
      <c r="D134" s="1">
        <f t="shared" si="99"/>
        <v>1.8057747463593745</v>
      </c>
      <c r="E134" s="1">
        <f t="shared" si="99"/>
        <v>1.5141939339376538</v>
      </c>
      <c r="F134" s="1">
        <f t="shared" si="99"/>
        <v>1.1151147175329577</v>
      </c>
      <c r="G134" s="1">
        <f t="shared" si="99"/>
        <v>0.8498402769861114</v>
      </c>
      <c r="H134" s="1">
        <f t="shared" si="99"/>
        <v>0.6888816797331452</v>
      </c>
      <c r="I134" s="1">
        <f t="shared" si="99"/>
        <v>0.5647651387523036</v>
      </c>
      <c r="J134" s="1">
        <f t="shared" si="99"/>
        <v>0.43871138403855536</v>
      </c>
      <c r="K134" s="1">
        <f t="shared" si="99"/>
        <v>0.29902816464800586</v>
      </c>
      <c r="L134" s="1">
        <f t="shared" si="99"/>
        <v>0.15016162068633981</v>
      </c>
      <c r="M134" s="1">
        <f t="shared" si="99"/>
        <v>0.004208441653091807</v>
      </c>
      <c r="N134" s="1">
        <f t="shared" si="99"/>
        <v>-0.12644578079395224</v>
      </c>
      <c r="O134" s="1">
        <f t="shared" si="99"/>
        <v>-0.2348478547008086</v>
      </c>
      <c r="P134" s="1">
        <f t="shared" si="99"/>
        <v>-0.32140780994108653</v>
      </c>
      <c r="Q134" s="1">
        <f t="shared" si="99"/>
        <v>-0.3927195967580641</v>
      </c>
      <c r="R134" s="1">
        <f t="shared" si="99"/>
        <v>-0.4601414164813592</v>
      </c>
      <c r="S134" s="1">
        <f t="shared" si="99"/>
        <v>-0.5395803375596725</v>
      </c>
      <c r="T134" s="1">
        <f t="shared" si="99"/>
        <v>-0.651747956352471</v>
      </c>
      <c r="U134" s="1">
        <f t="shared" si="99"/>
        <v>-0.8209753828493157</v>
      </c>
      <c r="V134" s="1">
        <f t="shared" si="99"/>
        <v>-1.0666970720018525</v>
      </c>
      <c r="W134" s="1">
        <f t="shared" si="99"/>
        <v>-1.3671722259092571</v>
      </c>
      <c r="X134" s="1">
        <f t="shared" si="99"/>
        <v>-1.5552556496667023</v>
      </c>
      <c r="Y134" s="1">
        <f t="shared" si="99"/>
        <v>-1.2030995325983391</v>
      </c>
      <c r="Z134" s="1">
        <f t="shared" si="99"/>
        <v>0.005528955536227134</v>
      </c>
    </row>
    <row r="135" spans="1:26" ht="15.75">
      <c r="A135" s="63" t="s">
        <v>295</v>
      </c>
      <c r="B135" s="1">
        <f aca="true" t="shared" si="100" ref="B135:Z135">((B105-B129)^2+(B106-B130)^2)^(1/2)</f>
        <v>1.9999999999999998</v>
      </c>
      <c r="C135" s="1">
        <f t="shared" si="100"/>
        <v>2</v>
      </c>
      <c r="D135" s="1">
        <f t="shared" si="100"/>
        <v>1.9999999999999996</v>
      </c>
      <c r="E135" s="1">
        <f t="shared" si="100"/>
        <v>1.9999999999999998</v>
      </c>
      <c r="F135" s="1">
        <f t="shared" si="100"/>
        <v>1.9999999999999996</v>
      </c>
      <c r="G135" s="1">
        <f t="shared" si="100"/>
        <v>2</v>
      </c>
      <c r="H135" s="1">
        <f t="shared" si="100"/>
        <v>2</v>
      </c>
      <c r="I135" s="1">
        <f t="shared" si="100"/>
        <v>2</v>
      </c>
      <c r="J135" s="1">
        <f t="shared" si="100"/>
        <v>2</v>
      </c>
      <c r="K135" s="1">
        <f t="shared" si="100"/>
        <v>1.9999999999999998</v>
      </c>
      <c r="L135" s="1">
        <f t="shared" si="100"/>
        <v>1.9999999999999998</v>
      </c>
      <c r="M135" s="1">
        <f t="shared" si="100"/>
        <v>1.9999999999999996</v>
      </c>
      <c r="N135" s="1">
        <f t="shared" si="100"/>
        <v>1.9999999999999998</v>
      </c>
      <c r="O135" s="1">
        <f t="shared" si="100"/>
        <v>1.9999999999999996</v>
      </c>
      <c r="P135" s="1">
        <f t="shared" si="100"/>
        <v>1.9999999999999998</v>
      </c>
      <c r="Q135" s="1">
        <f t="shared" si="100"/>
        <v>1.9999999999999996</v>
      </c>
      <c r="R135" s="1">
        <f t="shared" si="100"/>
        <v>1.9999999999999996</v>
      </c>
      <c r="S135" s="1">
        <f t="shared" si="100"/>
        <v>1.9999999999999998</v>
      </c>
      <c r="T135" s="1">
        <f t="shared" si="100"/>
        <v>2</v>
      </c>
      <c r="U135" s="1">
        <f t="shared" si="100"/>
        <v>2</v>
      </c>
      <c r="V135" s="1">
        <f t="shared" si="100"/>
        <v>1.9999999999999998</v>
      </c>
      <c r="W135" s="1">
        <f t="shared" si="100"/>
        <v>1.9999999999999998</v>
      </c>
      <c r="X135" s="1">
        <f t="shared" si="100"/>
        <v>1.9999999999999996</v>
      </c>
      <c r="Y135" s="1">
        <f t="shared" si="100"/>
        <v>2</v>
      </c>
      <c r="Z135" s="1">
        <f t="shared" si="100"/>
        <v>1.9999999999999998</v>
      </c>
    </row>
    <row r="136" ht="15.75" thickBot="1">
      <c r="A136" s="19"/>
    </row>
    <row r="137" spans="1:2" ht="15.75" thickBot="1">
      <c r="A137" s="163" t="s">
        <v>296</v>
      </c>
      <c r="B137" s="164"/>
    </row>
    <row r="138" spans="1:2" ht="15.75" thickBot="1">
      <c r="A138" s="64" t="s">
        <v>297</v>
      </c>
      <c r="B138" s="65"/>
    </row>
    <row r="139" spans="1:26" ht="15.75">
      <c r="A139" s="54" t="s">
        <v>89</v>
      </c>
      <c r="B139" s="1">
        <f>$I$5*COS(B21)-$J$5*SIN(B21)</f>
        <v>-0.5</v>
      </c>
      <c r="C139" s="1">
        <f aca="true" t="shared" si="101" ref="C139:Z139">$I$5*COS(C21)-$J$5*SIN(C21)</f>
        <v>-0.3535533905932738</v>
      </c>
      <c r="D139" s="1">
        <f t="shared" si="101"/>
        <v>-0.18301270189221938</v>
      </c>
      <c r="E139" s="1">
        <f t="shared" si="101"/>
        <v>0</v>
      </c>
      <c r="F139" s="1">
        <f t="shared" si="101"/>
        <v>0.18301270189221924</v>
      </c>
      <c r="G139" s="1">
        <f t="shared" si="101"/>
        <v>0.3535533905932738</v>
      </c>
      <c r="H139" s="1">
        <f t="shared" si="101"/>
        <v>0.49999999999999994</v>
      </c>
      <c r="I139" s="1">
        <f t="shared" si="101"/>
        <v>0.6123724356957945</v>
      </c>
      <c r="J139" s="1">
        <f t="shared" si="101"/>
        <v>0.6830127018922194</v>
      </c>
      <c r="K139" s="1">
        <f t="shared" si="101"/>
        <v>0.7071067811865475</v>
      </c>
      <c r="L139" s="1">
        <f t="shared" si="101"/>
        <v>0.6830127018922193</v>
      </c>
      <c r="M139" s="1">
        <f t="shared" si="101"/>
        <v>0.6123724356957945</v>
      </c>
      <c r="N139" s="1">
        <f t="shared" si="101"/>
        <v>0.49999999999999983</v>
      </c>
      <c r="O139" s="1">
        <f t="shared" si="101"/>
        <v>0.35355339059327373</v>
      </c>
      <c r="P139" s="1">
        <f t="shared" si="101"/>
        <v>0.18301270189221924</v>
      </c>
      <c r="Q139" s="1">
        <f t="shared" si="101"/>
        <v>0</v>
      </c>
      <c r="R139" s="1">
        <f t="shared" si="101"/>
        <v>-0.1830127018922196</v>
      </c>
      <c r="S139" s="1">
        <f t="shared" si="101"/>
        <v>-0.35355339059327384</v>
      </c>
      <c r="T139" s="1">
        <f t="shared" si="101"/>
        <v>-0.4999999999999999</v>
      </c>
      <c r="U139" s="1">
        <f t="shared" si="101"/>
        <v>-0.6123724356957947</v>
      </c>
      <c r="V139" s="1">
        <f t="shared" si="101"/>
        <v>-0.6830127018922194</v>
      </c>
      <c r="W139" s="1">
        <f t="shared" si="101"/>
        <v>-0.7071067811865475</v>
      </c>
      <c r="X139" s="1">
        <f t="shared" si="101"/>
        <v>-0.6830127018922192</v>
      </c>
      <c r="Y139" s="1">
        <f t="shared" si="101"/>
        <v>-0.6123724356957945</v>
      </c>
      <c r="Z139" s="1">
        <f t="shared" si="101"/>
        <v>-0.5000000000000001</v>
      </c>
    </row>
    <row r="140" spans="1:26" ht="15.75">
      <c r="A140" s="49" t="s">
        <v>90</v>
      </c>
      <c r="B140" s="1">
        <f>$I$5*SIN(B21)+$J$5*COS(B21)</f>
        <v>-0.5</v>
      </c>
      <c r="C140" s="1">
        <f aca="true" t="shared" si="102" ref="C140:Z140">$I$5*SIN(C21)+$J$5*COS(C21)</f>
        <v>-0.6123724356957945</v>
      </c>
      <c r="D140" s="1">
        <f t="shared" si="102"/>
        <v>-0.6830127018922193</v>
      </c>
      <c r="E140" s="1">
        <f t="shared" si="102"/>
        <v>-0.7071067811865475</v>
      </c>
      <c r="F140" s="1">
        <f t="shared" si="102"/>
        <v>-0.6830127018922194</v>
      </c>
      <c r="G140" s="1">
        <f t="shared" si="102"/>
        <v>-0.6123724356957945</v>
      </c>
      <c r="H140" s="1">
        <f t="shared" si="102"/>
        <v>-0.5</v>
      </c>
      <c r="I140" s="1">
        <f t="shared" si="102"/>
        <v>-0.35355339059327384</v>
      </c>
      <c r="J140" s="1">
        <f t="shared" si="102"/>
        <v>-0.18301270189221913</v>
      </c>
      <c r="K140" s="1">
        <f t="shared" si="102"/>
        <v>0</v>
      </c>
      <c r="L140" s="1">
        <f t="shared" si="102"/>
        <v>0.18301270189221938</v>
      </c>
      <c r="M140" s="1">
        <f t="shared" si="102"/>
        <v>0.35355339059327384</v>
      </c>
      <c r="N140" s="1">
        <f t="shared" si="102"/>
        <v>0.5000000000000001</v>
      </c>
      <c r="O140" s="1">
        <f t="shared" si="102"/>
        <v>0.6123724356957946</v>
      </c>
      <c r="P140" s="1">
        <f t="shared" si="102"/>
        <v>0.6830127018922194</v>
      </c>
      <c r="Q140" s="1">
        <f t="shared" si="102"/>
        <v>0.7071067811865475</v>
      </c>
      <c r="R140" s="1">
        <f t="shared" si="102"/>
        <v>0.6830127018922192</v>
      </c>
      <c r="S140" s="1">
        <f t="shared" si="102"/>
        <v>0.6123724356957945</v>
      </c>
      <c r="T140" s="1">
        <f t="shared" si="102"/>
        <v>0.5000000000000001</v>
      </c>
      <c r="U140" s="1">
        <f t="shared" si="102"/>
        <v>0.3535533905932735</v>
      </c>
      <c r="V140" s="1">
        <f t="shared" si="102"/>
        <v>0.18301270189221924</v>
      </c>
      <c r="W140" s="1">
        <f t="shared" si="102"/>
        <v>0</v>
      </c>
      <c r="X140" s="1">
        <f t="shared" si="102"/>
        <v>-0.18301270189221958</v>
      </c>
      <c r="Y140" s="1">
        <f t="shared" si="102"/>
        <v>-0.35355339059327384</v>
      </c>
      <c r="Z140" s="1">
        <f t="shared" si="102"/>
        <v>-0.4999999999999999</v>
      </c>
    </row>
    <row r="141" spans="1:26" ht="15.75">
      <c r="A141" s="66" t="s">
        <v>91</v>
      </c>
      <c r="B141" s="1">
        <f aca="true" t="shared" si="103" ref="B141:Z141">-B26*B140</f>
        <v>0.5</v>
      </c>
      <c r="C141" s="1">
        <f t="shared" si="103"/>
        <v>0.6123724356957945</v>
      </c>
      <c r="D141" s="1">
        <f t="shared" si="103"/>
        <v>0.6841372311127057</v>
      </c>
      <c r="E141" s="1">
        <f t="shared" si="103"/>
        <v>0.7064745066655155</v>
      </c>
      <c r="F141" s="1">
        <f t="shared" si="103"/>
        <v>0.6801010740527194</v>
      </c>
      <c r="G141" s="1">
        <f t="shared" si="103"/>
        <v>0.6087401689555697</v>
      </c>
      <c r="H141" s="1">
        <f t="shared" si="103"/>
        <v>0.4968449932191271</v>
      </c>
      <c r="I141" s="1">
        <f t="shared" si="103"/>
        <v>0.3513381909920493</v>
      </c>
      <c r="J141" s="1">
        <f t="shared" si="103"/>
        <v>0.18191238479157804</v>
      </c>
      <c r="K141" s="1">
        <f t="shared" si="103"/>
        <v>0</v>
      </c>
      <c r="L141" s="1">
        <f t="shared" si="103"/>
        <v>-0.18210799972926478</v>
      </c>
      <c r="M141" s="1">
        <f t="shared" si="103"/>
        <v>-0.3519234633154396</v>
      </c>
      <c r="N141" s="1">
        <f t="shared" si="103"/>
        <v>-0.497668125651367</v>
      </c>
      <c r="O141" s="1">
        <f t="shared" si="103"/>
        <v>-0.609307801953298</v>
      </c>
      <c r="P141" s="1">
        <f t="shared" si="103"/>
        <v>-0.6792680433097333</v>
      </c>
      <c r="Q141" s="1">
        <f t="shared" si="103"/>
        <v>-0.7028091533435828</v>
      </c>
      <c r="R141" s="1">
        <f t="shared" si="103"/>
        <v>-0.6783438393603172</v>
      </c>
      <c r="S141" s="1">
        <f t="shared" si="103"/>
        <v>-0.6076655850108316</v>
      </c>
      <c r="T141" s="1">
        <f t="shared" si="103"/>
        <v>-0.495789892810558</v>
      </c>
      <c r="U141" s="1">
        <f t="shared" si="103"/>
        <v>-0.3504163753813435</v>
      </c>
      <c r="V141" s="1">
        <f t="shared" si="103"/>
        <v>-0.18135273003265456</v>
      </c>
      <c r="W141" s="1">
        <f t="shared" si="103"/>
        <v>0</v>
      </c>
      <c r="X141" s="1">
        <f t="shared" si="103"/>
        <v>0.18142519557373102</v>
      </c>
      <c r="Y141" s="1">
        <f t="shared" si="103"/>
        <v>0.35106102421795815</v>
      </c>
      <c r="Z141" s="1">
        <f t="shared" si="103"/>
        <v>0.49825554411989303</v>
      </c>
    </row>
    <row r="142" spans="1:26" ht="15.75">
      <c r="A142" s="49" t="s">
        <v>92</v>
      </c>
      <c r="B142" s="1">
        <f aca="true" t="shared" si="104" ref="B142:Z142">B26*B139</f>
        <v>-0.5</v>
      </c>
      <c r="C142" s="1">
        <f t="shared" si="104"/>
        <v>-0.3535533905932738</v>
      </c>
      <c r="D142" s="1">
        <f t="shared" si="104"/>
        <v>-0.1833140185887139</v>
      </c>
      <c r="E142" s="1">
        <f t="shared" si="104"/>
        <v>0</v>
      </c>
      <c r="F142" s="1">
        <f t="shared" si="104"/>
        <v>0.18223253356396524</v>
      </c>
      <c r="G142" s="1">
        <f t="shared" si="104"/>
        <v>0.3514563004130365</v>
      </c>
      <c r="H142" s="1">
        <f t="shared" si="104"/>
        <v>0.49684499321912706</v>
      </c>
      <c r="I142" s="1">
        <f t="shared" si="104"/>
        <v>0.6085355974375672</v>
      </c>
      <c r="J142" s="1">
        <f t="shared" si="104"/>
        <v>0.67890626256819</v>
      </c>
      <c r="K142" s="1">
        <f t="shared" si="104"/>
        <v>0.7032073527325257</v>
      </c>
      <c r="L142" s="1">
        <f t="shared" si="104"/>
        <v>0.6796363074543553</v>
      </c>
      <c r="M142" s="1">
        <f t="shared" si="104"/>
        <v>0.6095493188379432</v>
      </c>
      <c r="N142" s="1">
        <f t="shared" si="104"/>
        <v>0.4976681256513667</v>
      </c>
      <c r="O142" s="1">
        <f t="shared" si="104"/>
        <v>0.35178402347707577</v>
      </c>
      <c r="P142" s="1">
        <f t="shared" si="104"/>
        <v>0.18200932364911182</v>
      </c>
      <c r="Q142" s="1">
        <f t="shared" si="104"/>
        <v>0</v>
      </c>
      <c r="R142" s="1">
        <f t="shared" si="104"/>
        <v>-0.18176168394722453</v>
      </c>
      <c r="S142" s="1">
        <f t="shared" si="104"/>
        <v>-0.3508358890832751</v>
      </c>
      <c r="T142" s="1">
        <f t="shared" si="104"/>
        <v>-0.4957898928105578</v>
      </c>
      <c r="U142" s="1">
        <f t="shared" si="104"/>
        <v>-0.6069389659646155</v>
      </c>
      <c r="V142" s="1">
        <f t="shared" si="104"/>
        <v>-0.6768176025731893</v>
      </c>
      <c r="W142" s="1">
        <f t="shared" si="104"/>
        <v>-0.7006805945145043</v>
      </c>
      <c r="X142" s="1">
        <f t="shared" si="104"/>
        <v>-0.6770880476542833</v>
      </c>
      <c r="Y142" s="1">
        <f t="shared" si="104"/>
        <v>-0.6080555305026714</v>
      </c>
      <c r="Z142" s="1">
        <f t="shared" si="104"/>
        <v>-0.49825554411989326</v>
      </c>
    </row>
    <row r="143" spans="1:26" ht="15.75">
      <c r="A143" s="49" t="s">
        <v>93</v>
      </c>
      <c r="B143" s="1">
        <f aca="true" t="shared" si="105" ref="B143:Z143">-B24*B140-B26^2*B139</f>
        <v>0.5</v>
      </c>
      <c r="C143" s="1">
        <f t="shared" si="105"/>
        <v>0.3574045276234256</v>
      </c>
      <c r="D143" s="1">
        <f t="shared" si="105"/>
        <v>0.17698762829635084</v>
      </c>
      <c r="E143" s="1">
        <f t="shared" si="105"/>
        <v>-0.009113796399673234</v>
      </c>
      <c r="F143" s="1">
        <f t="shared" si="105"/>
        <v>-0.18580490004750116</v>
      </c>
      <c r="G143" s="1">
        <f t="shared" si="105"/>
        <v>-0.3502533296470439</v>
      </c>
      <c r="H143" s="1">
        <f t="shared" si="105"/>
        <v>-0.49362544236347616</v>
      </c>
      <c r="I143" s="1">
        <f t="shared" si="105"/>
        <v>-0.604382900851346</v>
      </c>
      <c r="J143" s="1">
        <f t="shared" si="105"/>
        <v>-0.6744788270703915</v>
      </c>
      <c r="K143" s="1">
        <f t="shared" si="105"/>
        <v>-0.6993294281626026</v>
      </c>
      <c r="L143" s="1">
        <f t="shared" si="105"/>
        <v>-0.6765082826947306</v>
      </c>
      <c r="M143" s="1">
        <f t="shared" si="105"/>
        <v>-0.6066671648932749</v>
      </c>
      <c r="N143" s="1">
        <f t="shared" si="105"/>
        <v>-0.49469929041856375</v>
      </c>
      <c r="O143" s="1">
        <f t="shared" si="105"/>
        <v>-0.34891055959371886</v>
      </c>
      <c r="P143" s="1">
        <f t="shared" si="105"/>
        <v>-0.17946638310747254</v>
      </c>
      <c r="Q143" s="1">
        <f t="shared" si="105"/>
        <v>0.0020358948809686586</v>
      </c>
      <c r="R143" s="1">
        <f t="shared" si="105"/>
        <v>0.18272478572055434</v>
      </c>
      <c r="S143" s="1">
        <f t="shared" si="105"/>
        <v>0.3498443368705044</v>
      </c>
      <c r="T143" s="1">
        <f t="shared" si="105"/>
        <v>0.49247300253539816</v>
      </c>
      <c r="U143" s="1">
        <f t="shared" si="105"/>
        <v>0.6018180936075036</v>
      </c>
      <c r="V143" s="1">
        <f t="shared" si="105"/>
        <v>0.6706909893817955</v>
      </c>
      <c r="W143" s="1">
        <f t="shared" si="105"/>
        <v>0.6943128090291597</v>
      </c>
      <c r="X143" s="1">
        <f t="shared" si="105"/>
        <v>0.6723403043593866</v>
      </c>
      <c r="Y143" s="1">
        <f t="shared" si="105"/>
        <v>0.6085357993087058</v>
      </c>
      <c r="Z143" s="1">
        <f t="shared" si="105"/>
        <v>0.5049377827766435</v>
      </c>
    </row>
    <row r="144" spans="1:26" ht="16.5" thickBot="1">
      <c r="A144" s="67" t="s">
        <v>94</v>
      </c>
      <c r="B144" s="1">
        <f aca="true" t="shared" si="106" ref="B144:Z144">B24*B139-B26^2*B140</f>
        <v>0.5</v>
      </c>
      <c r="C144" s="1">
        <f t="shared" si="106"/>
        <v>0.6101489806947502</v>
      </c>
      <c r="D144" s="1">
        <f t="shared" si="106"/>
        <v>0.6870396334499524</v>
      </c>
      <c r="E144" s="1">
        <f t="shared" si="106"/>
        <v>0.7058427975061525</v>
      </c>
      <c r="F144" s="1">
        <f t="shared" si="106"/>
        <v>0.6760364912030008</v>
      </c>
      <c r="G144" s="1">
        <f t="shared" si="106"/>
        <v>0.6046204083566998</v>
      </c>
      <c r="H144" s="1">
        <f t="shared" si="106"/>
        <v>0.4937943467841817</v>
      </c>
      <c r="I144" s="1">
        <f t="shared" si="106"/>
        <v>0.3497255916667945</v>
      </c>
      <c r="J144" s="1">
        <f t="shared" si="106"/>
        <v>0.18210879738856567</v>
      </c>
      <c r="K144" s="1">
        <f t="shared" si="106"/>
        <v>0.0015336139936571157</v>
      </c>
      <c r="L144" s="1">
        <f t="shared" si="106"/>
        <v>-0.1803431325724542</v>
      </c>
      <c r="M144" s="1">
        <f t="shared" si="106"/>
        <v>-0.3504258479814851</v>
      </c>
      <c r="N144" s="1">
        <f t="shared" si="106"/>
        <v>-0.4959949627388149</v>
      </c>
      <c r="O144" s="1">
        <f t="shared" si="106"/>
        <v>-0.6069010681619675</v>
      </c>
      <c r="P144" s="1">
        <f t="shared" si="106"/>
        <v>-0.6759579135302426</v>
      </c>
      <c r="Q144" s="1">
        <f t="shared" si="106"/>
        <v>-0.6985376454666093</v>
      </c>
      <c r="R144" s="1">
        <f t="shared" si="106"/>
        <v>-0.6731159115172355</v>
      </c>
      <c r="S144" s="1">
        <f t="shared" si="106"/>
        <v>-0.6020104944405449</v>
      </c>
      <c r="T144" s="1">
        <f t="shared" si="106"/>
        <v>-0.49075746871701986</v>
      </c>
      <c r="U144" s="1">
        <f t="shared" si="106"/>
        <v>-0.346849262306867</v>
      </c>
      <c r="V144" s="1">
        <f t="shared" si="106"/>
        <v>-0.17966192898542493</v>
      </c>
      <c r="W144" s="1">
        <f t="shared" si="106"/>
        <v>-0.0011072596980371302</v>
      </c>
      <c r="X144" s="1">
        <f t="shared" si="106"/>
        <v>0.17565096663424828</v>
      </c>
      <c r="Y144" s="1">
        <f t="shared" si="106"/>
        <v>0.34032998825772454</v>
      </c>
      <c r="Z144" s="1">
        <f t="shared" si="106"/>
        <v>0.4880965662081996</v>
      </c>
    </row>
    <row r="145" spans="1:26" ht="15">
      <c r="A145" s="5" t="s">
        <v>98</v>
      </c>
      <c r="B145" s="1">
        <f>(B139)^2+(B140)^2</f>
        <v>0.5</v>
      </c>
      <c r="C145" s="1">
        <f aca="true" t="shared" si="107" ref="C145:Z145">(C139)^2+(C140)^2</f>
        <v>0.5</v>
      </c>
      <c r="D145" s="1">
        <f t="shared" si="107"/>
        <v>0.5</v>
      </c>
      <c r="E145" s="1">
        <f t="shared" si="107"/>
        <v>0.4999999999999999</v>
      </c>
      <c r="F145" s="1">
        <f t="shared" si="107"/>
        <v>0.5000000000000001</v>
      </c>
      <c r="G145" s="1">
        <f t="shared" si="107"/>
        <v>0.5</v>
      </c>
      <c r="H145" s="1">
        <f t="shared" si="107"/>
        <v>0.49999999999999994</v>
      </c>
      <c r="I145" s="1">
        <f t="shared" si="107"/>
        <v>0.5</v>
      </c>
      <c r="J145" s="1">
        <f t="shared" si="107"/>
        <v>0.5</v>
      </c>
      <c r="K145" s="1">
        <f t="shared" si="107"/>
        <v>0.4999999999999999</v>
      </c>
      <c r="L145" s="1">
        <f t="shared" si="107"/>
        <v>0.5</v>
      </c>
      <c r="M145" s="1">
        <f t="shared" si="107"/>
        <v>0.5</v>
      </c>
      <c r="N145" s="1">
        <f t="shared" si="107"/>
        <v>0.49999999999999994</v>
      </c>
      <c r="O145" s="1">
        <f t="shared" si="107"/>
        <v>0.5</v>
      </c>
      <c r="P145" s="1">
        <f t="shared" si="107"/>
        <v>0.5000000000000001</v>
      </c>
      <c r="Q145" s="1">
        <f t="shared" si="107"/>
        <v>0.4999999999999999</v>
      </c>
      <c r="R145" s="1">
        <f t="shared" si="107"/>
        <v>0.49999999999999994</v>
      </c>
      <c r="S145" s="1">
        <f t="shared" si="107"/>
        <v>0.5</v>
      </c>
      <c r="T145" s="1">
        <f t="shared" si="107"/>
        <v>0.5</v>
      </c>
      <c r="U145" s="1">
        <f t="shared" si="107"/>
        <v>0.5</v>
      </c>
      <c r="V145" s="1">
        <f t="shared" si="107"/>
        <v>0.5000000000000001</v>
      </c>
      <c r="W145" s="1">
        <f t="shared" si="107"/>
        <v>0.4999999999999999</v>
      </c>
      <c r="X145" s="1">
        <f t="shared" si="107"/>
        <v>0.4999999999999999</v>
      </c>
      <c r="Y145" s="1">
        <f t="shared" si="107"/>
        <v>0.5</v>
      </c>
      <c r="Z145" s="1">
        <f t="shared" si="107"/>
        <v>0.5</v>
      </c>
    </row>
    <row r="146" spans="1:26" ht="15">
      <c r="A146" s="5" t="s">
        <v>99</v>
      </c>
      <c r="B146" s="1">
        <f aca="true" t="shared" si="108" ref="B146:Z146">(B139-B31)^2+(B140-B32)^2</f>
        <v>2.5173001015936745</v>
      </c>
      <c r="C146" s="1">
        <f t="shared" si="108"/>
        <v>2.5173001015936745</v>
      </c>
      <c r="D146" s="1">
        <f t="shared" si="108"/>
        <v>2.517300101593675</v>
      </c>
      <c r="E146" s="1">
        <f t="shared" si="108"/>
        <v>2.5173001015936745</v>
      </c>
      <c r="F146" s="1">
        <f t="shared" si="108"/>
        <v>2.5173001015936753</v>
      </c>
      <c r="G146" s="1">
        <f t="shared" si="108"/>
        <v>2.517300101593675</v>
      </c>
      <c r="H146" s="1">
        <f t="shared" si="108"/>
        <v>2.5173001015936745</v>
      </c>
      <c r="I146" s="1">
        <f t="shared" si="108"/>
        <v>2.5173001015936753</v>
      </c>
      <c r="J146" s="1">
        <f t="shared" si="108"/>
        <v>2.517300101593675</v>
      </c>
      <c r="K146" s="1">
        <f t="shared" si="108"/>
        <v>2.5173001015936753</v>
      </c>
      <c r="L146" s="1">
        <f t="shared" si="108"/>
        <v>2.517300101593675</v>
      </c>
      <c r="M146" s="1">
        <f t="shared" si="108"/>
        <v>2.517300101593675</v>
      </c>
      <c r="N146" s="1">
        <f t="shared" si="108"/>
        <v>2.5173001015936745</v>
      </c>
      <c r="O146" s="1">
        <f t="shared" si="108"/>
        <v>2.517300101593675</v>
      </c>
      <c r="P146" s="1">
        <f t="shared" si="108"/>
        <v>2.5173001015936753</v>
      </c>
      <c r="Q146" s="1">
        <f t="shared" si="108"/>
        <v>2.517300101593675</v>
      </c>
      <c r="R146" s="1">
        <f t="shared" si="108"/>
        <v>2.5173001015936745</v>
      </c>
      <c r="S146" s="1">
        <f t="shared" si="108"/>
        <v>2.517300101593675</v>
      </c>
      <c r="T146" s="1">
        <f t="shared" si="108"/>
        <v>2.5173001015936753</v>
      </c>
      <c r="U146" s="1">
        <f t="shared" si="108"/>
        <v>2.5173001015936753</v>
      </c>
      <c r="V146" s="1">
        <f t="shared" si="108"/>
        <v>2.5173001015936753</v>
      </c>
      <c r="W146" s="1">
        <f t="shared" si="108"/>
        <v>2.5173001015936745</v>
      </c>
      <c r="X146" s="1">
        <f t="shared" si="108"/>
        <v>2.5173001015936745</v>
      </c>
      <c r="Y146" s="1">
        <f t="shared" si="108"/>
        <v>2.517300101593675</v>
      </c>
      <c r="Z146" s="1">
        <f t="shared" si="108"/>
        <v>2.5173001015936753</v>
      </c>
    </row>
    <row r="147" ht="15">
      <c r="A147" s="5"/>
    </row>
    <row r="148" ht="15.75" thickBot="1"/>
    <row r="149" spans="1:26" ht="15.75">
      <c r="A149" s="68" t="s">
        <v>95</v>
      </c>
      <c r="B149" s="1">
        <f>$K$5*B143</f>
        <v>0.5</v>
      </c>
      <c r="C149" s="1">
        <f aca="true" t="shared" si="109" ref="C149:Z149">$K$5*C143</f>
        <v>0.3574045276234256</v>
      </c>
      <c r="D149" s="1">
        <f t="shared" si="109"/>
        <v>0.17698762829635084</v>
      </c>
      <c r="E149" s="1">
        <f t="shared" si="109"/>
        <v>-0.009113796399673234</v>
      </c>
      <c r="F149" s="1">
        <f t="shared" si="109"/>
        <v>-0.18580490004750116</v>
      </c>
      <c r="G149" s="1">
        <f t="shared" si="109"/>
        <v>-0.3502533296470439</v>
      </c>
      <c r="H149" s="1">
        <f t="shared" si="109"/>
        <v>-0.49362544236347616</v>
      </c>
      <c r="I149" s="1">
        <f t="shared" si="109"/>
        <v>-0.604382900851346</v>
      </c>
      <c r="J149" s="1">
        <f t="shared" si="109"/>
        <v>-0.6744788270703915</v>
      </c>
      <c r="K149" s="1">
        <f t="shared" si="109"/>
        <v>-0.6993294281626026</v>
      </c>
      <c r="L149" s="1">
        <f t="shared" si="109"/>
        <v>-0.6765082826947306</v>
      </c>
      <c r="M149" s="1">
        <f t="shared" si="109"/>
        <v>-0.6066671648932749</v>
      </c>
      <c r="N149" s="1">
        <f t="shared" si="109"/>
        <v>-0.49469929041856375</v>
      </c>
      <c r="O149" s="1">
        <f t="shared" si="109"/>
        <v>-0.34891055959371886</v>
      </c>
      <c r="P149" s="1">
        <f t="shared" si="109"/>
        <v>-0.17946638310747254</v>
      </c>
      <c r="Q149" s="1">
        <f t="shared" si="109"/>
        <v>0.0020358948809686586</v>
      </c>
      <c r="R149" s="1">
        <f t="shared" si="109"/>
        <v>0.18272478572055434</v>
      </c>
      <c r="S149" s="1">
        <f t="shared" si="109"/>
        <v>0.3498443368705044</v>
      </c>
      <c r="T149" s="1">
        <f t="shared" si="109"/>
        <v>0.49247300253539816</v>
      </c>
      <c r="U149" s="1">
        <f t="shared" si="109"/>
        <v>0.6018180936075036</v>
      </c>
      <c r="V149" s="1">
        <f t="shared" si="109"/>
        <v>0.6706909893817955</v>
      </c>
      <c r="W149" s="1">
        <f t="shared" si="109"/>
        <v>0.6943128090291597</v>
      </c>
      <c r="X149" s="1">
        <f t="shared" si="109"/>
        <v>0.6723403043593866</v>
      </c>
      <c r="Y149" s="1">
        <f t="shared" si="109"/>
        <v>0.6085357993087058</v>
      </c>
      <c r="Z149" s="1">
        <f t="shared" si="109"/>
        <v>0.5049377827766435</v>
      </c>
    </row>
    <row r="150" spans="1:26" ht="15.75">
      <c r="A150" s="66" t="s">
        <v>96</v>
      </c>
      <c r="B150" s="1">
        <f>$K$5*B144</f>
        <v>0.5</v>
      </c>
      <c r="C150" s="1">
        <f aca="true" t="shared" si="110" ref="C150:Z150">$K$5*C144</f>
        <v>0.6101489806947502</v>
      </c>
      <c r="D150" s="1">
        <f t="shared" si="110"/>
        <v>0.6870396334499524</v>
      </c>
      <c r="E150" s="1">
        <f t="shared" si="110"/>
        <v>0.7058427975061525</v>
      </c>
      <c r="F150" s="1">
        <f t="shared" si="110"/>
        <v>0.6760364912030008</v>
      </c>
      <c r="G150" s="1">
        <f t="shared" si="110"/>
        <v>0.6046204083566998</v>
      </c>
      <c r="H150" s="1">
        <f t="shared" si="110"/>
        <v>0.4937943467841817</v>
      </c>
      <c r="I150" s="1">
        <f t="shared" si="110"/>
        <v>0.3497255916667945</v>
      </c>
      <c r="J150" s="1">
        <f t="shared" si="110"/>
        <v>0.18210879738856567</v>
      </c>
      <c r="K150" s="1">
        <f t="shared" si="110"/>
        <v>0.0015336139936571157</v>
      </c>
      <c r="L150" s="1">
        <f t="shared" si="110"/>
        <v>-0.1803431325724542</v>
      </c>
      <c r="M150" s="1">
        <f t="shared" si="110"/>
        <v>-0.3504258479814851</v>
      </c>
      <c r="N150" s="1">
        <f t="shared" si="110"/>
        <v>-0.4959949627388149</v>
      </c>
      <c r="O150" s="1">
        <f t="shared" si="110"/>
        <v>-0.6069010681619675</v>
      </c>
      <c r="P150" s="1">
        <f t="shared" si="110"/>
        <v>-0.6759579135302426</v>
      </c>
      <c r="Q150" s="1">
        <f t="shared" si="110"/>
        <v>-0.6985376454666093</v>
      </c>
      <c r="R150" s="1">
        <f t="shared" si="110"/>
        <v>-0.6731159115172355</v>
      </c>
      <c r="S150" s="1">
        <f t="shared" si="110"/>
        <v>-0.6020104944405449</v>
      </c>
      <c r="T150" s="1">
        <f t="shared" si="110"/>
        <v>-0.49075746871701986</v>
      </c>
      <c r="U150" s="1">
        <f t="shared" si="110"/>
        <v>-0.346849262306867</v>
      </c>
      <c r="V150" s="1">
        <f t="shared" si="110"/>
        <v>-0.17966192898542493</v>
      </c>
      <c r="W150" s="1">
        <f t="shared" si="110"/>
        <v>-0.0011072596980371302</v>
      </c>
      <c r="X150" s="1">
        <f t="shared" si="110"/>
        <v>0.17565096663424828</v>
      </c>
      <c r="Y150" s="1">
        <f t="shared" si="110"/>
        <v>0.34032998825772454</v>
      </c>
      <c r="Z150" s="1">
        <f t="shared" si="110"/>
        <v>0.4880965662081996</v>
      </c>
    </row>
    <row r="151" spans="1:26" ht="16.5" thickBot="1">
      <c r="A151" s="67" t="s">
        <v>97</v>
      </c>
      <c r="B151" s="1">
        <f>$M$5*B24</f>
        <v>0</v>
      </c>
      <c r="C151" s="1">
        <f aca="true" t="shared" si="111" ref="C151:Z151">$M$5*C24</f>
        <v>0.006288880435606257</v>
      </c>
      <c r="D151" s="1">
        <f t="shared" si="111"/>
        <v>-0.009704362841058889</v>
      </c>
      <c r="E151" s="1">
        <f t="shared" si="111"/>
        <v>-0.012888854473124973</v>
      </c>
      <c r="F151" s="1">
        <f t="shared" si="111"/>
        <v>-0.006367683946921706</v>
      </c>
      <c r="G151" s="1">
        <f t="shared" si="111"/>
        <v>-0.0014397783802426413</v>
      </c>
      <c r="H151" s="1">
        <f t="shared" si="111"/>
        <v>0.00016890442070544376</v>
      </c>
      <c r="I151" s="1">
        <f t="shared" si="111"/>
        <v>0.0009613771631118526</v>
      </c>
      <c r="J151" s="1">
        <f t="shared" si="111"/>
        <v>0.00188885846291962</v>
      </c>
      <c r="K151" s="1">
        <f t="shared" si="111"/>
        <v>0.002168857709275059</v>
      </c>
      <c r="L151" s="1">
        <f t="shared" si="111"/>
        <v>0.0012659168448187427</v>
      </c>
      <c r="M151" s="1">
        <f t="shared" si="111"/>
        <v>-0.00020379389912028145</v>
      </c>
      <c r="N151" s="1">
        <f t="shared" si="111"/>
        <v>-0.00129567232025083</v>
      </c>
      <c r="O151" s="1">
        <f t="shared" si="111"/>
        <v>-0.001817442369909707</v>
      </c>
      <c r="P151" s="1">
        <f t="shared" si="111"/>
        <v>-0.002262129791075629</v>
      </c>
      <c r="Q151" s="1">
        <f t="shared" si="111"/>
        <v>-0.0028791901522318354</v>
      </c>
      <c r="R151" s="1">
        <f t="shared" si="111"/>
        <v>-0.0032291758885182663</v>
      </c>
      <c r="S151" s="1">
        <f t="shared" si="111"/>
        <v>-0.002784354403165966</v>
      </c>
      <c r="T151" s="1">
        <f t="shared" si="111"/>
        <v>-0.0017155338183785455</v>
      </c>
      <c r="U151" s="1">
        <f t="shared" si="111"/>
        <v>-0.000747799874334464</v>
      </c>
      <c r="V151" s="1">
        <f t="shared" si="111"/>
        <v>-6.718111604999688E-05</v>
      </c>
      <c r="W151" s="1">
        <f t="shared" si="111"/>
        <v>0.0015659016820332478</v>
      </c>
      <c r="X151" s="1">
        <f t="shared" si="111"/>
        <v>0.006149948762021312</v>
      </c>
      <c r="Y151" s="1">
        <f t="shared" si="111"/>
        <v>0.01348238258655412</v>
      </c>
      <c r="Z151" s="1">
        <f t="shared" si="111"/>
        <v>0.016841216568443673</v>
      </c>
    </row>
    <row r="152" ht="15.75" thickBot="1"/>
    <row r="153" spans="1:26" ht="15.75">
      <c r="A153" s="68" t="s">
        <v>100</v>
      </c>
      <c r="B153" s="25">
        <f aca="true" t="shared" si="112" ref="B153:Z153">B141*B149+B142*B150+B26*B151</f>
        <v>0</v>
      </c>
      <c r="C153" s="25">
        <f t="shared" si="112"/>
        <v>0.009433320653409363</v>
      </c>
      <c r="D153" s="25">
        <f t="shared" si="112"/>
        <v>-0.014580510520672657</v>
      </c>
      <c r="E153" s="25">
        <f t="shared" si="112"/>
        <v>-0.0193159944459273</v>
      </c>
      <c r="F153" s="25">
        <f t="shared" si="112"/>
        <v>-0.009510808538842733</v>
      </c>
      <c r="G153" s="25">
        <f t="shared" si="112"/>
        <v>-0.002146857573981847</v>
      </c>
      <c r="H153" s="25">
        <f t="shared" si="112"/>
        <v>0.00025175794728025393</v>
      </c>
      <c r="I153" s="25">
        <f t="shared" si="112"/>
        <v>0.0014330304375613535</v>
      </c>
      <c r="J153" s="25">
        <f t="shared" si="112"/>
        <v>0.00281625327617277</v>
      </c>
      <c r="K153" s="25">
        <f t="shared" si="112"/>
        <v>0.0032353459097795305</v>
      </c>
      <c r="L153" s="25">
        <f t="shared" si="112"/>
        <v>0.001889488396570037</v>
      </c>
      <c r="M153" s="25">
        <f t="shared" si="112"/>
        <v>-0.00030428157396801124</v>
      </c>
      <c r="N153" s="25">
        <f t="shared" si="112"/>
        <v>-0.0019344444452327864</v>
      </c>
      <c r="O153" s="25">
        <f t="shared" si="112"/>
        <v>-0.002712520398623677</v>
      </c>
      <c r="P153" s="25">
        <f t="shared" si="112"/>
        <v>-0.003374591290849242</v>
      </c>
      <c r="Q153" s="25">
        <f t="shared" si="112"/>
        <v>-0.004292536672770353</v>
      </c>
      <c r="R153" s="25">
        <f t="shared" si="112"/>
        <v>-0.0048106533687851515</v>
      </c>
      <c r="S153" s="25">
        <f t="shared" si="112"/>
        <v>-0.004144429717892691</v>
      </c>
      <c r="T153" s="25">
        <f t="shared" si="112"/>
        <v>-0.00255163298378035</v>
      </c>
      <c r="U153" s="25">
        <f t="shared" si="112"/>
        <v>-0.001111747172195919</v>
      </c>
      <c r="V153" s="25">
        <f t="shared" si="112"/>
        <v>-9.985764930252161E-05</v>
      </c>
      <c r="W153" s="25">
        <f t="shared" si="112"/>
        <v>0.002327506150507821</v>
      </c>
      <c r="X153" s="25">
        <f t="shared" si="112"/>
        <v>0.009144903430598213</v>
      </c>
      <c r="Y153" s="25">
        <f t="shared" si="112"/>
        <v>0.020081008267768433</v>
      </c>
      <c r="Z153" s="25">
        <f t="shared" si="112"/>
        <v>0.025173688574852585</v>
      </c>
    </row>
    <row r="154" spans="1:26" ht="15.75">
      <c r="A154" s="66" t="s">
        <v>101</v>
      </c>
      <c r="B154" s="1">
        <f>$L$5*B142</f>
        <v>-4.905</v>
      </c>
      <c r="C154" s="1">
        <f aca="true" t="shared" si="113" ref="C154:Z154">$L$5*C142</f>
        <v>-3.4683587617200162</v>
      </c>
      <c r="D154" s="1">
        <f t="shared" si="113"/>
        <v>-1.7983105223552835</v>
      </c>
      <c r="E154" s="1">
        <f t="shared" si="113"/>
        <v>0</v>
      </c>
      <c r="F154" s="1">
        <f t="shared" si="113"/>
        <v>1.787701154262499</v>
      </c>
      <c r="G154" s="1">
        <f t="shared" si="113"/>
        <v>3.447786307051888</v>
      </c>
      <c r="H154" s="1">
        <f t="shared" si="113"/>
        <v>4.874049383479637</v>
      </c>
      <c r="I154" s="1">
        <f t="shared" si="113"/>
        <v>5.969734210862535</v>
      </c>
      <c r="J154" s="1">
        <f t="shared" si="113"/>
        <v>6.660070435793944</v>
      </c>
      <c r="K154" s="1">
        <f t="shared" si="113"/>
        <v>6.898464130306077</v>
      </c>
      <c r="L154" s="1">
        <f t="shared" si="113"/>
        <v>6.667232176127226</v>
      </c>
      <c r="M154" s="1">
        <f t="shared" si="113"/>
        <v>5.979678817800223</v>
      </c>
      <c r="N154" s="1">
        <f t="shared" si="113"/>
        <v>4.882124312639908</v>
      </c>
      <c r="O154" s="1">
        <f t="shared" si="113"/>
        <v>3.4510012703101136</v>
      </c>
      <c r="P154" s="1">
        <f t="shared" si="113"/>
        <v>1.785511464997787</v>
      </c>
      <c r="Q154" s="1">
        <f t="shared" si="113"/>
        <v>0</v>
      </c>
      <c r="R154" s="1">
        <f t="shared" si="113"/>
        <v>-1.7830821195222728</v>
      </c>
      <c r="S154" s="1">
        <f t="shared" si="113"/>
        <v>-3.4417000719069293</v>
      </c>
      <c r="T154" s="1">
        <f t="shared" si="113"/>
        <v>-4.863698848471572</v>
      </c>
      <c r="U154" s="1">
        <f t="shared" si="113"/>
        <v>-5.954071256112878</v>
      </c>
      <c r="V154" s="1">
        <f t="shared" si="113"/>
        <v>-6.639580681242988</v>
      </c>
      <c r="W154" s="1">
        <f t="shared" si="113"/>
        <v>-6.873676632187287</v>
      </c>
      <c r="X154" s="1">
        <f t="shared" si="113"/>
        <v>-6.64223374748852</v>
      </c>
      <c r="Y154" s="1">
        <f t="shared" si="113"/>
        <v>-5.965024754231206</v>
      </c>
      <c r="Z154" s="1">
        <f t="shared" si="113"/>
        <v>-4.887886887816153</v>
      </c>
    </row>
    <row r="155" spans="1:26" ht="16.5" thickBot="1">
      <c r="A155" s="67" t="s">
        <v>102</v>
      </c>
      <c r="B155" s="1">
        <f>SUM(B153:B154)</f>
        <v>-4.905</v>
      </c>
      <c r="C155" s="1">
        <f aca="true" t="shared" si="114" ref="C155:Z155">SUM(C153:C154)</f>
        <v>-3.458925441066607</v>
      </c>
      <c r="D155" s="1">
        <f t="shared" si="114"/>
        <v>-1.8128910328759562</v>
      </c>
      <c r="E155" s="1">
        <f t="shared" si="114"/>
        <v>-0.0193159944459273</v>
      </c>
      <c r="F155" s="1">
        <f t="shared" si="114"/>
        <v>1.7781903457236563</v>
      </c>
      <c r="G155" s="1">
        <f t="shared" si="114"/>
        <v>3.4456394494779063</v>
      </c>
      <c r="H155" s="1">
        <f t="shared" si="114"/>
        <v>4.874301141426917</v>
      </c>
      <c r="I155" s="1">
        <f t="shared" si="114"/>
        <v>5.971167241300097</v>
      </c>
      <c r="J155" s="1">
        <f t="shared" si="114"/>
        <v>6.662886689070117</v>
      </c>
      <c r="K155" s="1">
        <f t="shared" si="114"/>
        <v>6.901699476215856</v>
      </c>
      <c r="L155" s="1">
        <f t="shared" si="114"/>
        <v>6.669121664523796</v>
      </c>
      <c r="M155" s="1">
        <f t="shared" si="114"/>
        <v>5.9793745362262545</v>
      </c>
      <c r="N155" s="1">
        <f t="shared" si="114"/>
        <v>4.880189868194675</v>
      </c>
      <c r="O155" s="1">
        <f t="shared" si="114"/>
        <v>3.44828874991149</v>
      </c>
      <c r="P155" s="1">
        <f t="shared" si="114"/>
        <v>1.7821368737069379</v>
      </c>
      <c r="Q155" s="1">
        <f t="shared" si="114"/>
        <v>-0.004292536672770353</v>
      </c>
      <c r="R155" s="1">
        <f t="shared" si="114"/>
        <v>-1.7878927728910579</v>
      </c>
      <c r="S155" s="1">
        <f t="shared" si="114"/>
        <v>-3.445844501624822</v>
      </c>
      <c r="T155" s="1">
        <f t="shared" si="114"/>
        <v>-4.866250481455353</v>
      </c>
      <c r="U155" s="1">
        <f t="shared" si="114"/>
        <v>-5.955183003285074</v>
      </c>
      <c r="V155" s="1">
        <f t="shared" si="114"/>
        <v>-6.63968053889229</v>
      </c>
      <c r="W155" s="1">
        <f t="shared" si="114"/>
        <v>-6.87134912603678</v>
      </c>
      <c r="X155" s="1">
        <f t="shared" si="114"/>
        <v>-6.633088844057922</v>
      </c>
      <c r="Y155" s="1">
        <f t="shared" si="114"/>
        <v>-5.944943745963438</v>
      </c>
      <c r="Z155" s="1">
        <f t="shared" si="114"/>
        <v>-4.8627131992413</v>
      </c>
    </row>
    <row r="156" ht="15.75" thickBot="1">
      <c r="A156" s="5"/>
    </row>
    <row r="157" spans="1:26" ht="16.5" thickBot="1">
      <c r="A157" s="69" t="s">
        <v>103</v>
      </c>
      <c r="B157" s="1">
        <f aca="true" t="shared" si="115" ref="B157:Z157">$K$5*(B141^2+B142^2)/2+$M$5*B26^2/2</f>
        <v>0.75</v>
      </c>
      <c r="C157" s="1">
        <f t="shared" si="115"/>
        <v>0.75</v>
      </c>
      <c r="D157" s="1">
        <f t="shared" si="115"/>
        <v>0.7524716706085546</v>
      </c>
      <c r="E157" s="1">
        <f t="shared" si="115"/>
        <v>0.7486593428524253</v>
      </c>
      <c r="F157" s="1">
        <f t="shared" si="115"/>
        <v>0.7436192508252062</v>
      </c>
      <c r="G157" s="1">
        <f t="shared" si="115"/>
        <v>0.7411291866001112</v>
      </c>
      <c r="H157" s="1">
        <f t="shared" si="115"/>
        <v>0.7405648418607435</v>
      </c>
      <c r="I157" s="1">
        <f t="shared" si="115"/>
        <v>0.740631146697394</v>
      </c>
      <c r="J157" s="1">
        <f t="shared" si="115"/>
        <v>0.7410087436423007</v>
      </c>
      <c r="K157" s="1">
        <f t="shared" si="115"/>
        <v>0.7417508714056302</v>
      </c>
      <c r="L157" s="1">
        <f t="shared" si="115"/>
        <v>0.7426032509633773</v>
      </c>
      <c r="M157" s="1">
        <f t="shared" si="115"/>
        <v>0.7431007441916011</v>
      </c>
      <c r="N157" s="1">
        <f t="shared" si="115"/>
        <v>0.743020689868034</v>
      </c>
      <c r="O157" s="1">
        <f t="shared" si="115"/>
        <v>0.7425119950423189</v>
      </c>
      <c r="P157" s="1">
        <f t="shared" si="115"/>
        <v>0.7417987028355613</v>
      </c>
      <c r="Q157" s="1">
        <f t="shared" si="115"/>
        <v>0.7409110590352858</v>
      </c>
      <c r="R157" s="1">
        <f t="shared" si="115"/>
        <v>0.7397815112241398</v>
      </c>
      <c r="S157" s="1">
        <f t="shared" si="115"/>
        <v>0.7385149264131126</v>
      </c>
      <c r="T157" s="1">
        <f t="shared" si="115"/>
        <v>0.7374228534393135</v>
      </c>
      <c r="U157" s="1">
        <f t="shared" si="115"/>
        <v>0.7367498168123929</v>
      </c>
      <c r="V157" s="1">
        <f t="shared" si="115"/>
        <v>0.7364563197648248</v>
      </c>
      <c r="W157" s="1">
        <f t="shared" si="115"/>
        <v>0.7364299432937988</v>
      </c>
      <c r="X157" s="1">
        <f t="shared" si="115"/>
        <v>0.7370449887978835</v>
      </c>
      <c r="Y157" s="1">
        <f t="shared" si="115"/>
        <v>0.7394630563497704</v>
      </c>
      <c r="Z157" s="1">
        <f t="shared" si="115"/>
        <v>0.7447757617386324</v>
      </c>
    </row>
    <row r="158" spans="1:26" ht="15">
      <c r="A158" s="5" t="s">
        <v>104</v>
      </c>
      <c r="B158" s="25">
        <f>(B140-$J$5)*$L$5</f>
        <v>0</v>
      </c>
      <c r="C158" s="25">
        <f aca="true" t="shared" si="116" ref="C158:Z158">(C140-$J$5)*$L$5</f>
        <v>-1.1023735941757438</v>
      </c>
      <c r="D158" s="25">
        <f t="shared" si="116"/>
        <v>-1.7953546055626715</v>
      </c>
      <c r="E158" s="25">
        <f t="shared" si="116"/>
        <v>-2.031717523440031</v>
      </c>
      <c r="F158" s="25">
        <f t="shared" si="116"/>
        <v>-1.7953546055626726</v>
      </c>
      <c r="G158" s="25">
        <f t="shared" si="116"/>
        <v>-1.1023735941757438</v>
      </c>
      <c r="H158" s="25">
        <f t="shared" si="116"/>
        <v>0</v>
      </c>
      <c r="I158" s="25">
        <f t="shared" si="116"/>
        <v>1.4366412382799836</v>
      </c>
      <c r="J158" s="25">
        <f t="shared" si="116"/>
        <v>3.1096453944373303</v>
      </c>
      <c r="K158" s="25">
        <f t="shared" si="116"/>
        <v>4.905</v>
      </c>
      <c r="L158" s="25">
        <f t="shared" si="116"/>
        <v>6.700354605562673</v>
      </c>
      <c r="M158" s="25">
        <f t="shared" si="116"/>
        <v>8.373358761720016</v>
      </c>
      <c r="N158" s="25">
        <f t="shared" si="116"/>
        <v>9.81</v>
      </c>
      <c r="O158" s="25">
        <f t="shared" si="116"/>
        <v>10.912373594175747</v>
      </c>
      <c r="P158" s="25">
        <f t="shared" si="116"/>
        <v>11.605354605562672</v>
      </c>
      <c r="Q158" s="25">
        <f t="shared" si="116"/>
        <v>11.841717523440032</v>
      </c>
      <c r="R158" s="25">
        <f t="shared" si="116"/>
        <v>11.60535460556267</v>
      </c>
      <c r="S158" s="25">
        <f t="shared" si="116"/>
        <v>10.912373594175744</v>
      </c>
      <c r="T158" s="25">
        <f t="shared" si="116"/>
        <v>9.81</v>
      </c>
      <c r="U158" s="25">
        <f t="shared" si="116"/>
        <v>8.373358761720013</v>
      </c>
      <c r="V158" s="25">
        <f t="shared" si="116"/>
        <v>6.70035460556267</v>
      </c>
      <c r="W158" s="25">
        <f t="shared" si="116"/>
        <v>4.905</v>
      </c>
      <c r="X158" s="25">
        <f t="shared" si="116"/>
        <v>3.109645394437326</v>
      </c>
      <c r="Y158" s="25">
        <f t="shared" si="116"/>
        <v>1.4366412382799836</v>
      </c>
      <c r="Z158" s="25">
        <f t="shared" si="116"/>
        <v>1.0891287871572786E-15</v>
      </c>
    </row>
    <row r="159" ht="15.75" thickBot="1"/>
    <row r="160" ht="16.5" thickBot="1">
      <c r="A160" s="70" t="s">
        <v>298</v>
      </c>
    </row>
    <row r="161" spans="1:26" ht="15.75">
      <c r="A161" s="54" t="s">
        <v>105</v>
      </c>
      <c r="B161" s="1">
        <f>B31+($I$6-$F$5)*COS(B71)-($J$6-$G$5)*SIN(B71)</f>
        <v>8</v>
      </c>
      <c r="C161" s="1">
        <f aca="true" t="shared" si="117" ref="C161:Z161">C31+($I$6-$F$5)*COS(C71)-($J$6-$G$5)*SIN(C71)</f>
        <v>7.88855857842801</v>
      </c>
      <c r="D161" s="1">
        <f t="shared" si="117"/>
        <v>7.525035504419013</v>
      </c>
      <c r="E161" s="1">
        <f t="shared" si="117"/>
        <v>6.97321422880304</v>
      </c>
      <c r="F161" s="1">
        <f t="shared" si="117"/>
        <v>6.352967376272149</v>
      </c>
      <c r="G161" s="1">
        <f t="shared" si="117"/>
        <v>5.759230529419048</v>
      </c>
      <c r="H161" s="1">
        <f t="shared" si="117"/>
        <v>5.246283047008004</v>
      </c>
      <c r="I161" s="1">
        <f t="shared" si="117"/>
        <v>4.841691794316536</v>
      </c>
      <c r="J161" s="1">
        <f t="shared" si="117"/>
        <v>4.559572582710571</v>
      </c>
      <c r="K161" s="1">
        <f t="shared" si="117"/>
        <v>4.407013526023111</v>
      </c>
      <c r="L161" s="1">
        <f t="shared" si="117"/>
        <v>4.385709980887559</v>
      </c>
      <c r="M161" s="1">
        <f t="shared" si="117"/>
        <v>4.491346149909772</v>
      </c>
      <c r="N161" s="1">
        <f t="shared" si="117"/>
        <v>4.712417136066385</v>
      </c>
      <c r="O161" s="1">
        <f t="shared" si="117"/>
        <v>5.029553290669202</v>
      </c>
      <c r="P161" s="1">
        <f t="shared" si="117"/>
        <v>5.415991047135153</v>
      </c>
      <c r="Q161" s="1">
        <f t="shared" si="117"/>
        <v>5.839467832209703</v>
      </c>
      <c r="R161" s="1">
        <f t="shared" si="117"/>
        <v>6.2654734667023835</v>
      </c>
      <c r="S161" s="1">
        <f t="shared" si="117"/>
        <v>6.661539994688053</v>
      </c>
      <c r="T161" s="1">
        <f t="shared" si="117"/>
        <v>7.002147250254354</v>
      </c>
      <c r="U161" s="1">
        <f t="shared" si="117"/>
        <v>7.273778063842053</v>
      </c>
      <c r="V161" s="1">
        <f t="shared" si="117"/>
        <v>7.479328989589791</v>
      </c>
      <c r="W161" s="1">
        <f t="shared" si="117"/>
        <v>7.639558679919993</v>
      </c>
      <c r="X161" s="1">
        <f t="shared" si="117"/>
        <v>7.784850964784135</v>
      </c>
      <c r="Y161" s="1">
        <f t="shared" si="117"/>
        <v>7.924848331370561</v>
      </c>
      <c r="Z161" s="1">
        <f t="shared" si="117"/>
        <v>8</v>
      </c>
    </row>
    <row r="162" spans="1:26" ht="15.75">
      <c r="A162" s="49" t="s">
        <v>106</v>
      </c>
      <c r="B162" s="1">
        <f>B32+($I$6-$F$5)*SIN(B71)+($J$6-$G$5)*COS(B71)</f>
        <v>0.07</v>
      </c>
      <c r="C162" s="1">
        <f aca="true" t="shared" si="118" ref="C162:Z162">C32+($I$6-$F$5)*SIN(C71)+($J$6-$G$5)*COS(C71)</f>
        <v>-0.7330506249010874</v>
      </c>
      <c r="D162" s="1">
        <f t="shared" si="118"/>
        <v>-1.6167281314216042</v>
      </c>
      <c r="E162" s="1">
        <f t="shared" si="118"/>
        <v>-2.3765655396629155</v>
      </c>
      <c r="F162" s="1">
        <f t="shared" si="118"/>
        <v>-2.9423972028297785</v>
      </c>
      <c r="G162" s="1">
        <f t="shared" si="118"/>
        <v>-3.338323423727707</v>
      </c>
      <c r="H162" s="1">
        <f t="shared" si="118"/>
        <v>-3.6151260443939934</v>
      </c>
      <c r="I162" s="1">
        <f t="shared" si="118"/>
        <v>-3.8155401536039153</v>
      </c>
      <c r="J162" s="1">
        <f t="shared" si="118"/>
        <v>-3.9649919888858727</v>
      </c>
      <c r="K162" s="1">
        <f t="shared" si="118"/>
        <v>-4.072457645949269</v>
      </c>
      <c r="L162" s="1">
        <f t="shared" si="118"/>
        <v>-4.134045769767378</v>
      </c>
      <c r="M162" s="1">
        <f t="shared" si="118"/>
        <v>-4.137046197101</v>
      </c>
      <c r="N162" s="1">
        <f t="shared" si="118"/>
        <v>-4.0640465346606645</v>
      </c>
      <c r="O162" s="1">
        <f t="shared" si="118"/>
        <v>-3.8971051986723313</v>
      </c>
      <c r="P162" s="1">
        <f t="shared" si="118"/>
        <v>-3.6218656986375373</v>
      </c>
      <c r="Q162" s="1">
        <f t="shared" si="118"/>
        <v>-3.2313287151618906</v>
      </c>
      <c r="R162" s="1">
        <f t="shared" si="118"/>
        <v>-2.7289583457517144</v>
      </c>
      <c r="S162" s="1">
        <f t="shared" si="118"/>
        <v>-2.130945315920356</v>
      </c>
      <c r="T162" s="1">
        <f t="shared" si="118"/>
        <v>-1.4677488378689783</v>
      </c>
      <c r="U162" s="1">
        <f t="shared" si="118"/>
        <v>-0.7854203717874398</v>
      </c>
      <c r="V162" s="1">
        <f t="shared" si="118"/>
        <v>-0.1475578332442711</v>
      </c>
      <c r="W162" s="1">
        <f t="shared" si="118"/>
        <v>0.3614970154963466</v>
      </c>
      <c r="X162" s="1">
        <f t="shared" si="118"/>
        <v>0.6348320663954797</v>
      </c>
      <c r="Y162" s="1">
        <f t="shared" si="118"/>
        <v>0.557510155026859</v>
      </c>
      <c r="Z162" s="1">
        <f t="shared" si="118"/>
        <v>0.06999999999999976</v>
      </c>
    </row>
    <row r="163" spans="1:26" ht="15.75">
      <c r="A163" s="66" t="s">
        <v>107</v>
      </c>
      <c r="B163" s="1">
        <f aca="true" t="shared" si="119" ref="B163:Z163">B33-B75*(B162-B32)</f>
        <v>0.009460372275843856</v>
      </c>
      <c r="C163" s="1">
        <f t="shared" si="119"/>
        <v>-0.9086030771846466</v>
      </c>
      <c r="D163" s="1">
        <f t="shared" si="119"/>
        <v>-1.8240206710834492</v>
      </c>
      <c r="E163" s="1">
        <f t="shared" si="119"/>
        <v>-2.3105140543834466</v>
      </c>
      <c r="F163" s="1">
        <f t="shared" si="119"/>
        <v>-2.354787563663595</v>
      </c>
      <c r="G163" s="1">
        <f t="shared" si="119"/>
        <v>-2.124863658083955</v>
      </c>
      <c r="H163" s="1">
        <f t="shared" si="119"/>
        <v>-1.753273735536933</v>
      </c>
      <c r="I163" s="1">
        <f t="shared" si="119"/>
        <v>-1.309580076731408</v>
      </c>
      <c r="J163" s="1">
        <f t="shared" si="119"/>
        <v>-0.827954881286959</v>
      </c>
      <c r="K163" s="1">
        <f t="shared" si="119"/>
        <v>-0.32954164254191803</v>
      </c>
      <c r="L163" s="1">
        <f t="shared" si="119"/>
        <v>0.165138321676633</v>
      </c>
      <c r="M163" s="1">
        <f t="shared" si="119"/>
        <v>0.630845019464768</v>
      </c>
      <c r="N163" s="1">
        <f t="shared" si="119"/>
        <v>1.0378695702789054</v>
      </c>
      <c r="O163" s="1">
        <f t="shared" si="119"/>
        <v>1.3560291138356055</v>
      </c>
      <c r="P163" s="1">
        <f t="shared" si="119"/>
        <v>1.5599685625897137</v>
      </c>
      <c r="Q163" s="1">
        <f t="shared" si="119"/>
        <v>1.6343153184188486</v>
      </c>
      <c r="R163" s="1">
        <f t="shared" si="119"/>
        <v>1.578285371723222</v>
      </c>
      <c r="S163" s="1">
        <f t="shared" si="119"/>
        <v>1.4090884104442696</v>
      </c>
      <c r="T163" s="1">
        <f t="shared" si="119"/>
        <v>1.1632639679483758</v>
      </c>
      <c r="U163" s="1">
        <f t="shared" si="119"/>
        <v>0.8956440249249424</v>
      </c>
      <c r="V163" s="1">
        <f t="shared" si="119"/>
        <v>0.6740695260097676</v>
      </c>
      <c r="W163" s="1">
        <f t="shared" si="119"/>
        <v>0.5598783499642003</v>
      </c>
      <c r="X163" s="1">
        <f t="shared" si="119"/>
        <v>0.5500444242603549</v>
      </c>
      <c r="Y163" s="1">
        <f t="shared" si="119"/>
        <v>0.4741179672018937</v>
      </c>
      <c r="Z163" s="1">
        <f t="shared" si="119"/>
        <v>0.009427365871754884</v>
      </c>
    </row>
    <row r="164" spans="1:26" ht="15.75">
      <c r="A164" s="49" t="s">
        <v>108</v>
      </c>
      <c r="B164" s="1">
        <f aca="true" t="shared" si="120" ref="B164:Z164">B34+B75*(B161-B31)</f>
        <v>-2.585350734788711</v>
      </c>
      <c r="C164" s="1">
        <f t="shared" si="120"/>
        <v>-3.38571333714519</v>
      </c>
      <c r="D164" s="1">
        <f t="shared" si="120"/>
        <v>-3.2330846056893017</v>
      </c>
      <c r="E164" s="1">
        <f t="shared" si="120"/>
        <v>-2.5341993581896265</v>
      </c>
      <c r="F164" s="1">
        <f t="shared" si="120"/>
        <v>-1.7985510173153305</v>
      </c>
      <c r="G164" s="1">
        <f t="shared" si="120"/>
        <v>-1.2453397291270916</v>
      </c>
      <c r="H164" s="1">
        <f t="shared" si="120"/>
        <v>-0.8838790744417607</v>
      </c>
      <c r="I164" s="1">
        <f t="shared" si="120"/>
        <v>-0.6535117119404481</v>
      </c>
      <c r="J164" s="1">
        <f t="shared" si="120"/>
        <v>-0.48662307904276947</v>
      </c>
      <c r="K164" s="1">
        <f t="shared" si="120"/>
        <v>-0.32686140593558966</v>
      </c>
      <c r="L164" s="1">
        <f t="shared" si="120"/>
        <v>-0.13281177962808832</v>
      </c>
      <c r="M164" s="1">
        <f t="shared" si="120"/>
        <v>0.12133976031982852</v>
      </c>
      <c r="N164" s="1">
        <f t="shared" si="120"/>
        <v>0.44537444935412374</v>
      </c>
      <c r="O164" s="1">
        <f t="shared" si="120"/>
        <v>0.8330694979885311</v>
      </c>
      <c r="P164" s="1">
        <f t="shared" si="120"/>
        <v>1.2631075738111295</v>
      </c>
      <c r="Q164" s="1">
        <f t="shared" si="120"/>
        <v>1.7009485779721758</v>
      </c>
      <c r="R164" s="1">
        <f t="shared" si="120"/>
        <v>2.1017973036872903</v>
      </c>
      <c r="S164" s="1">
        <f t="shared" si="120"/>
        <v>2.4142048152246467</v>
      </c>
      <c r="T164" s="1">
        <f t="shared" si="120"/>
        <v>2.582412393578804</v>
      </c>
      <c r="U164" s="1">
        <f t="shared" si="120"/>
        <v>2.5452050829517248</v>
      </c>
      <c r="V164" s="1">
        <f t="shared" si="120"/>
        <v>2.2310323111441286</v>
      </c>
      <c r="W164" s="1">
        <f t="shared" si="120"/>
        <v>1.5545531220384752</v>
      </c>
      <c r="X164" s="1">
        <f t="shared" si="120"/>
        <v>0.43846040088226507</v>
      </c>
      <c r="Y164" s="1">
        <f t="shared" si="120"/>
        <v>-1.0713392350621822</v>
      </c>
      <c r="Z164" s="1">
        <f t="shared" si="120"/>
        <v>-2.5763306742058267</v>
      </c>
    </row>
    <row r="165" spans="1:26" ht="15.75">
      <c r="A165" s="49" t="s">
        <v>109</v>
      </c>
      <c r="B165" s="1">
        <f aca="true" t="shared" si="121" ref="B165:Z165">B35-B81*(B162-B32)-B75*(B164-B34)</f>
        <v>-2.800144725007587</v>
      </c>
      <c r="C165" s="1">
        <f t="shared" si="121"/>
        <v>-3.8755145310311274</v>
      </c>
      <c r="D165" s="1">
        <f t="shared" si="121"/>
        <v>-2.8031445720121697</v>
      </c>
      <c r="E165" s="1">
        <f t="shared" si="121"/>
        <v>-0.9228772690693701</v>
      </c>
      <c r="F165" s="1">
        <f t="shared" si="121"/>
        <v>0.45146517153178634</v>
      </c>
      <c r="G165" s="1">
        <f t="shared" si="121"/>
        <v>1.1991849017840162</v>
      </c>
      <c r="H165" s="1">
        <f t="shared" si="121"/>
        <v>1.5756677803428594</v>
      </c>
      <c r="I165" s="1">
        <f t="shared" si="121"/>
        <v>1.770993308512955</v>
      </c>
      <c r="J165" s="1">
        <f t="shared" si="121"/>
        <v>1.8722228699231733</v>
      </c>
      <c r="K165" s="1">
        <f t="shared" si="121"/>
        <v>1.90042277176388</v>
      </c>
      <c r="L165" s="1">
        <f t="shared" si="121"/>
        <v>1.8427716385209245</v>
      </c>
      <c r="M165" s="1">
        <f t="shared" si="121"/>
        <v>1.6782685157635426</v>
      </c>
      <c r="N165" s="1">
        <f t="shared" si="121"/>
        <v>1.3963651124920784</v>
      </c>
      <c r="O165" s="1">
        <f t="shared" si="121"/>
        <v>1.0053994611857733</v>
      </c>
      <c r="P165" s="1">
        <f t="shared" si="121"/>
        <v>0.5338227564953641</v>
      </c>
      <c r="Q165" s="1">
        <f t="shared" si="121"/>
        <v>0.029360557173469082</v>
      </c>
      <c r="R165" s="1">
        <f t="shared" si="121"/>
        <v>-0.44430286323559554</v>
      </c>
      <c r="S165" s="1">
        <f t="shared" si="121"/>
        <v>-0.8151702820901428</v>
      </c>
      <c r="T165" s="1">
        <f t="shared" si="121"/>
        <v>-1.011508889756966</v>
      </c>
      <c r="U165" s="1">
        <f t="shared" si="121"/>
        <v>-0.9704208329893182</v>
      </c>
      <c r="V165" s="1">
        <f t="shared" si="121"/>
        <v>-0.6644658506592975</v>
      </c>
      <c r="W165" s="1">
        <f t="shared" si="121"/>
        <v>-0.1934317689043304</v>
      </c>
      <c r="X165" s="1">
        <f t="shared" si="121"/>
        <v>0.017356444350441758</v>
      </c>
      <c r="Y165" s="1">
        <f t="shared" si="121"/>
        <v>-0.8242448863304124</v>
      </c>
      <c r="Z165" s="1">
        <f t="shared" si="121"/>
        <v>-2.7804805698829336</v>
      </c>
    </row>
    <row r="166" spans="1:26" ht="16.5" thickBot="1">
      <c r="A166" s="67" t="s">
        <v>110</v>
      </c>
      <c r="B166" s="1">
        <f aca="true" t="shared" si="122" ref="B166:Z166">B36+B81*(B162-B33)+B75*(B164-B33)</f>
        <v>1.2379785682985691</v>
      </c>
      <c r="C166" s="1">
        <f t="shared" si="122"/>
        <v>1.7657949290452717</v>
      </c>
      <c r="D166" s="1">
        <f t="shared" si="122"/>
        <v>0.8517714849977185</v>
      </c>
      <c r="E166" s="1">
        <f t="shared" si="122"/>
        <v>-0.5545509825486865</v>
      </c>
      <c r="F166" s="1">
        <f t="shared" si="122"/>
        <v>-1.4937963802513567</v>
      </c>
      <c r="G166" s="1">
        <f t="shared" si="122"/>
        <v>-1.8956132158847285</v>
      </c>
      <c r="H166" s="1">
        <f t="shared" si="122"/>
        <v>-1.971742699545118</v>
      </c>
      <c r="I166" s="1">
        <f t="shared" si="122"/>
        <v>-1.8867812655305032</v>
      </c>
      <c r="J166" s="1">
        <f t="shared" si="122"/>
        <v>-1.7272938096277264</v>
      </c>
      <c r="K166" s="1">
        <f t="shared" si="122"/>
        <v>-1.5263821129185078</v>
      </c>
      <c r="L166" s="1">
        <f t="shared" si="122"/>
        <v>-1.286582730641172</v>
      </c>
      <c r="M166" s="1">
        <f t="shared" si="122"/>
        <v>-0.9977854184866197</v>
      </c>
      <c r="N166" s="1">
        <f t="shared" si="122"/>
        <v>-0.6492311681137949</v>
      </c>
      <c r="O166" s="1">
        <f t="shared" si="122"/>
        <v>-0.23663245303075925</v>
      </c>
      <c r="P166" s="1">
        <f t="shared" si="122"/>
        <v>0.2314484490062621</v>
      </c>
      <c r="Q166" s="1">
        <f t="shared" si="122"/>
        <v>0.7272305240505968</v>
      </c>
      <c r="R166" s="1">
        <f t="shared" si="122"/>
        <v>1.202463429801265</v>
      </c>
      <c r="S166" s="1">
        <f t="shared" si="122"/>
        <v>1.5945411885783871</v>
      </c>
      <c r="T166" s="1">
        <f t="shared" si="122"/>
        <v>1.8333103565666022</v>
      </c>
      <c r="U166" s="1">
        <f t="shared" si="122"/>
        <v>1.8435919795291689</v>
      </c>
      <c r="V166" s="1">
        <f t="shared" si="122"/>
        <v>1.5573634127813234</v>
      </c>
      <c r="W166" s="1">
        <f t="shared" si="122"/>
        <v>0.9786525584482603</v>
      </c>
      <c r="X166" s="1">
        <f t="shared" si="122"/>
        <v>0.3603908877675308</v>
      </c>
      <c r="Y166" s="1">
        <f t="shared" si="122"/>
        <v>0.3477900033589332</v>
      </c>
      <c r="Z166" s="1">
        <f t="shared" si="122"/>
        <v>1.2454814143378699</v>
      </c>
    </row>
    <row r="167" spans="1:26" ht="15">
      <c r="A167" s="5" t="s">
        <v>111</v>
      </c>
      <c r="B167" s="1">
        <f aca="true" t="shared" si="123" ref="B167:Z167">(B161-B31)^2+(B162-B32)^2</f>
        <v>49.00489354059653</v>
      </c>
      <c r="C167" s="1">
        <f t="shared" si="123"/>
        <v>49.00489354059653</v>
      </c>
      <c r="D167" s="1">
        <f t="shared" si="123"/>
        <v>49.00489354059652</v>
      </c>
      <c r="E167" s="1">
        <f t="shared" si="123"/>
        <v>49.00489354059651</v>
      </c>
      <c r="F167" s="1">
        <f t="shared" si="123"/>
        <v>49.00489354059651</v>
      </c>
      <c r="G167" s="1">
        <f t="shared" si="123"/>
        <v>49.00489354059651</v>
      </c>
      <c r="H167" s="1">
        <f t="shared" si="123"/>
        <v>49.00489354059653</v>
      </c>
      <c r="I167" s="1">
        <f t="shared" si="123"/>
        <v>49.00489354059653</v>
      </c>
      <c r="J167" s="1">
        <f t="shared" si="123"/>
        <v>49.004893540596534</v>
      </c>
      <c r="K167" s="1">
        <f t="shared" si="123"/>
        <v>49.00489354059653</v>
      </c>
      <c r="L167" s="1">
        <f t="shared" si="123"/>
        <v>49.00489354059651</v>
      </c>
      <c r="M167" s="1">
        <f t="shared" si="123"/>
        <v>49.00489354059653</v>
      </c>
      <c r="N167" s="1">
        <f t="shared" si="123"/>
        <v>49.00489354059651</v>
      </c>
      <c r="O167" s="1">
        <f t="shared" si="123"/>
        <v>49.00489354059653</v>
      </c>
      <c r="P167" s="1">
        <f t="shared" si="123"/>
        <v>49.00489354059653</v>
      </c>
      <c r="Q167" s="1">
        <f t="shared" si="123"/>
        <v>49.00489354059652</v>
      </c>
      <c r="R167" s="1">
        <f t="shared" si="123"/>
        <v>49.00489354059652</v>
      </c>
      <c r="S167" s="1">
        <f t="shared" si="123"/>
        <v>49.004893540596534</v>
      </c>
      <c r="T167" s="1">
        <f t="shared" si="123"/>
        <v>49.00489354059652</v>
      </c>
      <c r="U167" s="1">
        <f t="shared" si="123"/>
        <v>49.00489354059653</v>
      </c>
      <c r="V167" s="1">
        <f t="shared" si="123"/>
        <v>49.00489354059652</v>
      </c>
      <c r="W167" s="1">
        <f t="shared" si="123"/>
        <v>49.004893540596534</v>
      </c>
      <c r="X167" s="1">
        <f t="shared" si="123"/>
        <v>49.00489354059652</v>
      </c>
      <c r="Y167" s="1">
        <f t="shared" si="123"/>
        <v>49.00489354059653</v>
      </c>
      <c r="Z167" s="1">
        <f t="shared" si="123"/>
        <v>49.00489354059653</v>
      </c>
    </row>
    <row r="168" spans="1:26" ht="15">
      <c r="A168" s="5" t="s">
        <v>112</v>
      </c>
      <c r="B168" s="1">
        <f aca="true" t="shared" si="124" ref="B168:Z168">(B161-B87)^2+(B162-B88)^2</f>
        <v>67.83952715266378</v>
      </c>
      <c r="C168" s="1">
        <f t="shared" si="124"/>
        <v>67.83952715266379</v>
      </c>
      <c r="D168" s="1">
        <f t="shared" si="124"/>
        <v>67.83952715266378</v>
      </c>
      <c r="E168" s="1">
        <f t="shared" si="124"/>
        <v>67.83952715266376</v>
      </c>
      <c r="F168" s="1">
        <f t="shared" si="124"/>
        <v>67.83952715266378</v>
      </c>
      <c r="G168" s="1">
        <f t="shared" si="124"/>
        <v>67.83952715266375</v>
      </c>
      <c r="H168" s="1">
        <f t="shared" si="124"/>
        <v>67.83952715266378</v>
      </c>
      <c r="I168" s="1">
        <f t="shared" si="124"/>
        <v>67.83952715266378</v>
      </c>
      <c r="J168" s="1">
        <f t="shared" si="124"/>
        <v>67.8395271526638</v>
      </c>
      <c r="K168" s="1">
        <f t="shared" si="124"/>
        <v>67.83952715266378</v>
      </c>
      <c r="L168" s="1">
        <f t="shared" si="124"/>
        <v>67.83952715266376</v>
      </c>
      <c r="M168" s="1">
        <f t="shared" si="124"/>
        <v>67.83952715266378</v>
      </c>
      <c r="N168" s="1">
        <f t="shared" si="124"/>
        <v>67.83952715266378</v>
      </c>
      <c r="O168" s="1">
        <f t="shared" si="124"/>
        <v>67.83952715266378</v>
      </c>
      <c r="P168" s="1">
        <f t="shared" si="124"/>
        <v>67.83952715266378</v>
      </c>
      <c r="Q168" s="1">
        <f t="shared" si="124"/>
        <v>67.83952715266378</v>
      </c>
      <c r="R168" s="1">
        <f t="shared" si="124"/>
        <v>67.83952715266379</v>
      </c>
      <c r="S168" s="1">
        <f t="shared" si="124"/>
        <v>67.83952715266379</v>
      </c>
      <c r="T168" s="1">
        <f t="shared" si="124"/>
        <v>67.83952715266378</v>
      </c>
      <c r="U168" s="1">
        <f t="shared" si="124"/>
        <v>67.83952715266378</v>
      </c>
      <c r="V168" s="1">
        <f t="shared" si="124"/>
        <v>67.83952715266379</v>
      </c>
      <c r="W168" s="1">
        <f t="shared" si="124"/>
        <v>67.8395271526638</v>
      </c>
      <c r="X168" s="1">
        <f t="shared" si="124"/>
        <v>67.83952715266378</v>
      </c>
      <c r="Y168" s="1">
        <f t="shared" si="124"/>
        <v>67.83952715266378</v>
      </c>
      <c r="Z168" s="1">
        <f t="shared" si="124"/>
        <v>67.83952715266378</v>
      </c>
    </row>
    <row r="169" ht="15">
      <c r="A169" s="5"/>
    </row>
    <row r="170" ht="15.75" thickBot="1"/>
    <row r="171" spans="1:26" ht="15.75">
      <c r="A171" s="68" t="s">
        <v>113</v>
      </c>
      <c r="B171" s="1">
        <f>$K$6*B165</f>
        <v>-0.5600289450015173</v>
      </c>
      <c r="C171" s="1">
        <f aca="true" t="shared" si="125" ref="C171:Z171">$K$6*C165</f>
        <v>-0.7751029062062256</v>
      </c>
      <c r="D171" s="1">
        <f t="shared" si="125"/>
        <v>-0.560628914402434</v>
      </c>
      <c r="E171" s="1">
        <f t="shared" si="125"/>
        <v>-0.18457545381387402</v>
      </c>
      <c r="F171" s="1">
        <f t="shared" si="125"/>
        <v>0.09029303430635727</v>
      </c>
      <c r="G171" s="1">
        <f t="shared" si="125"/>
        <v>0.23983698035680323</v>
      </c>
      <c r="H171" s="1">
        <f t="shared" si="125"/>
        <v>0.3151335560685719</v>
      </c>
      <c r="I171" s="1">
        <f t="shared" si="125"/>
        <v>0.354198661702591</v>
      </c>
      <c r="J171" s="1">
        <f t="shared" si="125"/>
        <v>0.3744445739846347</v>
      </c>
      <c r="K171" s="1">
        <f t="shared" si="125"/>
        <v>0.380084554352776</v>
      </c>
      <c r="L171" s="1">
        <f t="shared" si="125"/>
        <v>0.36855432770418495</v>
      </c>
      <c r="M171" s="1">
        <f t="shared" si="125"/>
        <v>0.33565370315270854</v>
      </c>
      <c r="N171" s="1">
        <f t="shared" si="125"/>
        <v>0.2792730224984157</v>
      </c>
      <c r="O171" s="1">
        <f t="shared" si="125"/>
        <v>0.20107989223715467</v>
      </c>
      <c r="P171" s="1">
        <f t="shared" si="125"/>
        <v>0.10676455129907284</v>
      </c>
      <c r="Q171" s="1">
        <f t="shared" si="125"/>
        <v>0.005872111434693817</v>
      </c>
      <c r="R171" s="1">
        <f t="shared" si="125"/>
        <v>-0.08886057264711911</v>
      </c>
      <c r="S171" s="1">
        <f t="shared" si="125"/>
        <v>-0.16303405641802857</v>
      </c>
      <c r="T171" s="1">
        <f t="shared" si="125"/>
        <v>-0.2023017779513932</v>
      </c>
      <c r="U171" s="1">
        <f t="shared" si="125"/>
        <v>-0.19408416659786365</v>
      </c>
      <c r="V171" s="1">
        <f t="shared" si="125"/>
        <v>-0.1328931701318595</v>
      </c>
      <c r="W171" s="1">
        <f t="shared" si="125"/>
        <v>-0.03868635378086608</v>
      </c>
      <c r="X171" s="1">
        <f t="shared" si="125"/>
        <v>0.0034712888700883515</v>
      </c>
      <c r="Y171" s="1">
        <f t="shared" si="125"/>
        <v>-0.1648489772660825</v>
      </c>
      <c r="Z171" s="1">
        <f t="shared" si="125"/>
        <v>-0.5560961139765868</v>
      </c>
    </row>
    <row r="172" spans="1:26" ht="15.75">
      <c r="A172" s="66" t="s">
        <v>114</v>
      </c>
      <c r="B172" s="1">
        <f>$K$6*B166</f>
        <v>0.24759571365971383</v>
      </c>
      <c r="C172" s="1">
        <f aca="true" t="shared" si="126" ref="C172:Z172">$K$6*C166</f>
        <v>0.35315898580905436</v>
      </c>
      <c r="D172" s="1">
        <f t="shared" si="126"/>
        <v>0.17035429699954371</v>
      </c>
      <c r="E172" s="1">
        <f t="shared" si="126"/>
        <v>-0.11091019650973731</v>
      </c>
      <c r="F172" s="1">
        <f t="shared" si="126"/>
        <v>-0.29875927605027136</v>
      </c>
      <c r="G172" s="1">
        <f t="shared" si="126"/>
        <v>-0.3791226431769457</v>
      </c>
      <c r="H172" s="1">
        <f t="shared" si="126"/>
        <v>-0.39434853990902363</v>
      </c>
      <c r="I172" s="1">
        <f t="shared" si="126"/>
        <v>-0.37735625310610066</v>
      </c>
      <c r="J172" s="1">
        <f t="shared" si="126"/>
        <v>-0.3454587619255453</v>
      </c>
      <c r="K172" s="1">
        <f t="shared" si="126"/>
        <v>-0.3052764225837016</v>
      </c>
      <c r="L172" s="1">
        <f t="shared" si="126"/>
        <v>-0.2573165461282344</v>
      </c>
      <c r="M172" s="1">
        <f t="shared" si="126"/>
        <v>-0.19955708369732394</v>
      </c>
      <c r="N172" s="1">
        <f t="shared" si="126"/>
        <v>-0.129846233622759</v>
      </c>
      <c r="O172" s="1">
        <f t="shared" si="126"/>
        <v>-0.04732649060615185</v>
      </c>
      <c r="P172" s="1">
        <f t="shared" si="126"/>
        <v>0.04628968980125242</v>
      </c>
      <c r="Q172" s="1">
        <f t="shared" si="126"/>
        <v>0.14544610481011938</v>
      </c>
      <c r="R172" s="1">
        <f t="shared" si="126"/>
        <v>0.24049268596025303</v>
      </c>
      <c r="S172" s="1">
        <f t="shared" si="126"/>
        <v>0.31890823771567745</v>
      </c>
      <c r="T172" s="1">
        <f t="shared" si="126"/>
        <v>0.36666207131332046</v>
      </c>
      <c r="U172" s="1">
        <f t="shared" si="126"/>
        <v>0.3687183959058338</v>
      </c>
      <c r="V172" s="1">
        <f t="shared" si="126"/>
        <v>0.3114726825562647</v>
      </c>
      <c r="W172" s="1">
        <f t="shared" si="126"/>
        <v>0.19573051168965205</v>
      </c>
      <c r="X172" s="1">
        <f t="shared" si="126"/>
        <v>0.07207817755350616</v>
      </c>
      <c r="Y172" s="1">
        <f t="shared" si="126"/>
        <v>0.06955800067178664</v>
      </c>
      <c r="Z172" s="1">
        <f t="shared" si="126"/>
        <v>0.249096282867574</v>
      </c>
    </row>
    <row r="173" spans="1:26" ht="16.5" thickBot="1">
      <c r="A173" s="67" t="s">
        <v>115</v>
      </c>
      <c r="B173" s="1">
        <f>$M$6*B81</f>
        <v>-0.7514760404735676</v>
      </c>
      <c r="C173" s="1">
        <f aca="true" t="shared" si="127" ref="C173:Z173">$M$6*C81</f>
        <v>-0.20145513759128242</v>
      </c>
      <c r="D173" s="1">
        <f t="shared" si="127"/>
        <v>0.29033125767182244</v>
      </c>
      <c r="E173" s="1">
        <f t="shared" si="127"/>
        <v>0.5049374484926299</v>
      </c>
      <c r="F173" s="1">
        <f t="shared" si="127"/>
        <v>0.5226064500464239</v>
      </c>
      <c r="G173" s="1">
        <f t="shared" si="127"/>
        <v>0.46898650779009293</v>
      </c>
      <c r="H173" s="1">
        <f t="shared" si="127"/>
        <v>0.4055022306018517</v>
      </c>
      <c r="I173" s="1">
        <f t="shared" si="127"/>
        <v>0.3518400425561409</v>
      </c>
      <c r="J173" s="1">
        <f t="shared" si="127"/>
        <v>0.3113989000526119</v>
      </c>
      <c r="K173" s="1">
        <f t="shared" si="127"/>
        <v>0.2814993831985881</v>
      </c>
      <c r="L173" s="1">
        <f t="shared" si="127"/>
        <v>0.2573934861564888</v>
      </c>
      <c r="M173" s="1">
        <f t="shared" si="127"/>
        <v>0.23443393308717805</v>
      </c>
      <c r="N173" s="1">
        <f t="shared" si="127"/>
        <v>0.2090766023018575</v>
      </c>
      <c r="O173" s="1">
        <f t="shared" si="127"/>
        <v>0.1788400205377191</v>
      </c>
      <c r="P173" s="1">
        <f t="shared" si="127"/>
        <v>0.14185568014862307</v>
      </c>
      <c r="Q173" s="1">
        <f t="shared" si="127"/>
        <v>0.09651315517561462</v>
      </c>
      <c r="R173" s="1">
        <f t="shared" si="127"/>
        <v>0.04088827087288239</v>
      </c>
      <c r="S173" s="1">
        <f t="shared" si="127"/>
        <v>-0.028587689801408515</v>
      </c>
      <c r="T173" s="1">
        <f t="shared" si="127"/>
        <v>-0.11897208825015022</v>
      </c>
      <c r="U173" s="1">
        <f t="shared" si="127"/>
        <v>-0.24207203901924587</v>
      </c>
      <c r="V173" s="1">
        <f t="shared" si="127"/>
        <v>-0.41304266732285766</v>
      </c>
      <c r="W173" s="1">
        <f t="shared" si="127"/>
        <v>-0.6396897254003828</v>
      </c>
      <c r="X173" s="1">
        <f t="shared" si="127"/>
        <v>-0.884670319197349</v>
      </c>
      <c r="Y173" s="1">
        <f t="shared" si="127"/>
        <v>-0.9969046399914379</v>
      </c>
      <c r="Z173" s="1">
        <f t="shared" si="127"/>
        <v>-0.755729458980883</v>
      </c>
    </row>
    <row r="174" spans="1:26" ht="15.75" thickBot="1">
      <c r="A174" s="5" t="s">
        <v>245</v>
      </c>
      <c r="B174" s="1">
        <f aca="true" t="shared" si="128" ref="B174:Z174">B173*B75</f>
        <v>0.38487601456656995</v>
      </c>
      <c r="C174" s="1">
        <f t="shared" si="128"/>
        <v>0.12641589760780847</v>
      </c>
      <c r="D174" s="1">
        <f t="shared" si="128"/>
        <v>-0.17815854742050471</v>
      </c>
      <c r="E174" s="1">
        <f t="shared" si="128"/>
        <v>-0.2596230058642911</v>
      </c>
      <c r="F174" s="1">
        <f t="shared" si="128"/>
        <v>-0.20316749712926394</v>
      </c>
      <c r="G174" s="1">
        <f t="shared" si="128"/>
        <v>-0.12629938051723458</v>
      </c>
      <c r="H174" s="1">
        <f t="shared" si="128"/>
        <v>-0.06675536898420453</v>
      </c>
      <c r="I174" s="1">
        <f t="shared" si="128"/>
        <v>-0.02609934956401898</v>
      </c>
      <c r="J174" s="1">
        <f t="shared" si="128"/>
        <v>0.001553644497582312</v>
      </c>
      <c r="K174" s="1">
        <f t="shared" si="128"/>
        <v>0.02133402482905133</v>
      </c>
      <c r="L174" s="1">
        <f t="shared" si="128"/>
        <v>0.036085887777259934</v>
      </c>
      <c r="M174" s="1">
        <f t="shared" si="128"/>
        <v>0.04666503935734671</v>
      </c>
      <c r="N174" s="1">
        <f t="shared" si="128"/>
        <v>0.05272640751480953</v>
      </c>
      <c r="O174" s="1">
        <f t="shared" si="128"/>
        <v>0.05342142762162151</v>
      </c>
      <c r="P174" s="1">
        <f t="shared" si="128"/>
        <v>0.047839759659478634</v>
      </c>
      <c r="Q174" s="1">
        <f t="shared" si="128"/>
        <v>0.03532226076026136</v>
      </c>
      <c r="R174" s="1">
        <f t="shared" si="128"/>
        <v>0.015647696420336643</v>
      </c>
      <c r="S174" s="1">
        <f t="shared" si="128"/>
        <v>-0.010991495229514234</v>
      </c>
      <c r="T174" s="1">
        <f t="shared" si="128"/>
        <v>-0.04369212056904202</v>
      </c>
      <c r="U174" s="1">
        <f t="shared" si="128"/>
        <v>-0.07859100597918971</v>
      </c>
      <c r="V174" s="1">
        <f t="shared" si="128"/>
        <v>-0.10205035731166995</v>
      </c>
      <c r="W174" s="1">
        <f t="shared" si="128"/>
        <v>-0.07780957105960529</v>
      </c>
      <c r="X174" s="1">
        <f t="shared" si="128"/>
        <v>0.05486726005504951</v>
      </c>
      <c r="Y174" s="1">
        <f t="shared" si="128"/>
        <v>0.2916789298660887</v>
      </c>
      <c r="Z174" s="1">
        <f t="shared" si="128"/>
        <v>0.3857040468405519</v>
      </c>
    </row>
    <row r="175" spans="1:26" ht="15.75">
      <c r="A175" s="68" t="s">
        <v>116</v>
      </c>
      <c r="B175" s="1">
        <f aca="true" t="shared" si="129" ref="B175:Z175">B163*B171+B164*B172+B173*B75</f>
        <v>-0.26054382797906883</v>
      </c>
      <c r="C175" s="1">
        <f t="shared" si="129"/>
        <v>-0.36501830506483657</v>
      </c>
      <c r="D175" s="1">
        <f t="shared" si="129"/>
        <v>0.2936703261143605</v>
      </c>
      <c r="E175" s="1">
        <f t="shared" si="129"/>
        <v>0.4479097230785293</v>
      </c>
      <c r="F175" s="1">
        <f t="shared" si="129"/>
        <v>0.12154538847328286</v>
      </c>
      <c r="G175" s="1">
        <f t="shared" si="129"/>
        <v>-0.16378377418207654</v>
      </c>
      <c r="H175" s="1">
        <f t="shared" si="129"/>
        <v>-0.27071433356333957</v>
      </c>
      <c r="I175" s="1">
        <f t="shared" si="129"/>
        <v>-0.2433441291558593</v>
      </c>
      <c r="J175" s="1">
        <f t="shared" si="129"/>
        <v>-0.14036136189389997</v>
      </c>
      <c r="K175" s="1">
        <f t="shared" si="129"/>
        <v>-0.004136582832479491</v>
      </c>
      <c r="L175" s="1">
        <f t="shared" si="129"/>
        <v>0.13112299932003274</v>
      </c>
      <c r="M175" s="1">
        <f t="shared" si="129"/>
        <v>0.23419629755018134</v>
      </c>
      <c r="N175" s="1">
        <f t="shared" si="129"/>
        <v>0.2847451845652881</v>
      </c>
      <c r="O175" s="1">
        <f t="shared" si="129"/>
        <v>0.28666535993130354</v>
      </c>
      <c r="P175" s="1">
        <f t="shared" si="129"/>
        <v>0.27285796106235877</v>
      </c>
      <c r="Q175" s="1">
        <f t="shared" si="129"/>
        <v>0.2923154875778085</v>
      </c>
      <c r="R175" s="1">
        <f t="shared" si="129"/>
        <v>0.380867233396214</v>
      </c>
      <c r="S175" s="1">
        <f t="shared" si="129"/>
        <v>0.5291889084721192</v>
      </c>
      <c r="T175" s="1">
        <f t="shared" si="129"/>
        <v>0.667850187703003</v>
      </c>
      <c r="U175" s="1">
        <f t="shared" si="129"/>
        <v>0.6860426053122312</v>
      </c>
      <c r="V175" s="1">
        <f t="shared" si="129"/>
        <v>0.5032760253093769</v>
      </c>
      <c r="W175" s="1">
        <f t="shared" si="129"/>
        <v>0.204804255044769</v>
      </c>
      <c r="X175" s="1">
        <f t="shared" si="129"/>
        <v>0.08838004976801203</v>
      </c>
      <c r="Y175" s="1">
        <f t="shared" si="129"/>
        <v>0.1390008526372158</v>
      </c>
      <c r="Z175" s="1">
        <f t="shared" si="129"/>
        <v>-0.2612928690681488</v>
      </c>
    </row>
    <row r="176" spans="1:26" ht="15.75">
      <c r="A176" s="66" t="s">
        <v>117</v>
      </c>
      <c r="B176" s="1">
        <f>$L$6*B164</f>
        <v>-5.072458141655451</v>
      </c>
      <c r="C176" s="1">
        <f aca="true" t="shared" si="130" ref="C176:Z176">$L$6*C164</f>
        <v>-6.642769567478863</v>
      </c>
      <c r="D176" s="1">
        <f t="shared" si="130"/>
        <v>-6.34331199636241</v>
      </c>
      <c r="E176" s="1">
        <f t="shared" si="130"/>
        <v>-4.972099140768048</v>
      </c>
      <c r="F176" s="1">
        <f t="shared" si="130"/>
        <v>-3.528757095972679</v>
      </c>
      <c r="G176" s="1">
        <f t="shared" si="130"/>
        <v>-2.443356548547354</v>
      </c>
      <c r="H176" s="1">
        <f t="shared" si="130"/>
        <v>-1.7341707440547347</v>
      </c>
      <c r="I176" s="1">
        <f t="shared" si="130"/>
        <v>-1.2821899788271593</v>
      </c>
      <c r="J176" s="1">
        <f t="shared" si="130"/>
        <v>-0.9547544810819137</v>
      </c>
      <c r="K176" s="1">
        <f t="shared" si="130"/>
        <v>-0.6413020784456269</v>
      </c>
      <c r="L176" s="1">
        <f t="shared" si="130"/>
        <v>-0.2605767116303093</v>
      </c>
      <c r="M176" s="1">
        <f t="shared" si="130"/>
        <v>0.23806860974750357</v>
      </c>
      <c r="N176" s="1">
        <f t="shared" si="130"/>
        <v>0.8738246696327908</v>
      </c>
      <c r="O176" s="1">
        <f t="shared" si="130"/>
        <v>1.6344823550534981</v>
      </c>
      <c r="P176" s="1">
        <f t="shared" si="130"/>
        <v>2.4782170598174362</v>
      </c>
      <c r="Q176" s="1">
        <f t="shared" si="130"/>
        <v>3.337261109981409</v>
      </c>
      <c r="R176" s="1">
        <f t="shared" si="130"/>
        <v>4.123726309834464</v>
      </c>
      <c r="S176" s="1">
        <f t="shared" si="130"/>
        <v>4.736669847470758</v>
      </c>
      <c r="T176" s="1">
        <f t="shared" si="130"/>
        <v>5.066693116201614</v>
      </c>
      <c r="U176" s="1">
        <f t="shared" si="130"/>
        <v>4.993692372751284</v>
      </c>
      <c r="V176" s="1">
        <f t="shared" si="130"/>
        <v>4.3772853944647805</v>
      </c>
      <c r="W176" s="1">
        <f t="shared" si="130"/>
        <v>3.0500332254394884</v>
      </c>
      <c r="X176" s="1">
        <f t="shared" si="130"/>
        <v>0.8602593065310041</v>
      </c>
      <c r="Y176" s="1">
        <f t="shared" si="130"/>
        <v>-2.1019675791920016</v>
      </c>
      <c r="Z176" s="1">
        <f t="shared" si="130"/>
        <v>-5.054760782791832</v>
      </c>
    </row>
    <row r="177" spans="1:26" ht="16.5" thickBot="1">
      <c r="A177" s="67" t="s">
        <v>118</v>
      </c>
      <c r="B177" s="1">
        <f>SUM(B175:B176)</f>
        <v>-5.33300196963452</v>
      </c>
      <c r="C177" s="1">
        <f aca="true" t="shared" si="131" ref="C177:Z177">SUM(C175:C176)</f>
        <v>-7.0077878725437</v>
      </c>
      <c r="D177" s="1">
        <f t="shared" si="131"/>
        <v>-6.04964167024805</v>
      </c>
      <c r="E177" s="1">
        <f t="shared" si="131"/>
        <v>-4.524189417689518</v>
      </c>
      <c r="F177" s="1">
        <f t="shared" si="131"/>
        <v>-3.407211707499396</v>
      </c>
      <c r="G177" s="1">
        <f t="shared" si="131"/>
        <v>-2.6071403227294305</v>
      </c>
      <c r="H177" s="1">
        <f t="shared" si="131"/>
        <v>-2.0048850776180744</v>
      </c>
      <c r="I177" s="1">
        <f t="shared" si="131"/>
        <v>-1.5255341079830187</v>
      </c>
      <c r="J177" s="1">
        <f t="shared" si="131"/>
        <v>-1.0951158429758137</v>
      </c>
      <c r="K177" s="1">
        <f t="shared" si="131"/>
        <v>-0.6454386612781065</v>
      </c>
      <c r="L177" s="1">
        <f t="shared" si="131"/>
        <v>-0.12945371231027658</v>
      </c>
      <c r="M177" s="1">
        <f t="shared" si="131"/>
        <v>0.4722649072976849</v>
      </c>
      <c r="N177" s="1">
        <f t="shared" si="131"/>
        <v>1.158569854198079</v>
      </c>
      <c r="O177" s="1">
        <f t="shared" si="131"/>
        <v>1.9211477149848017</v>
      </c>
      <c r="P177" s="1">
        <f t="shared" si="131"/>
        <v>2.751075020879795</v>
      </c>
      <c r="Q177" s="1">
        <f t="shared" si="131"/>
        <v>3.629576597559218</v>
      </c>
      <c r="R177" s="1">
        <f t="shared" si="131"/>
        <v>4.504593543230678</v>
      </c>
      <c r="S177" s="1">
        <f t="shared" si="131"/>
        <v>5.265858755942877</v>
      </c>
      <c r="T177" s="1">
        <f t="shared" si="131"/>
        <v>5.7345433039046165</v>
      </c>
      <c r="U177" s="1">
        <f t="shared" si="131"/>
        <v>5.679734978063515</v>
      </c>
      <c r="V177" s="1">
        <f t="shared" si="131"/>
        <v>4.880561419774157</v>
      </c>
      <c r="W177" s="1">
        <f t="shared" si="131"/>
        <v>3.2548374804842575</v>
      </c>
      <c r="X177" s="1">
        <f t="shared" si="131"/>
        <v>0.9486393562990162</v>
      </c>
      <c r="Y177" s="1">
        <f t="shared" si="131"/>
        <v>-1.9629667265547859</v>
      </c>
      <c r="Z177" s="1">
        <f t="shared" si="131"/>
        <v>-5.316053651859981</v>
      </c>
    </row>
    <row r="178" ht="15.75" thickBot="1">
      <c r="A178" s="71"/>
    </row>
    <row r="179" spans="1:26" ht="16.5" thickBot="1">
      <c r="A179" s="69" t="s">
        <v>119</v>
      </c>
      <c r="B179" s="1">
        <f aca="true" t="shared" si="132" ref="B179:Z179">($K$6*(B163^2+B164^2)/2)+$M$6*(B75^2/2)</f>
        <v>0.8126821523757923</v>
      </c>
      <c r="C179" s="1">
        <f t="shared" si="132"/>
        <v>1.4454369624077696</v>
      </c>
      <c r="D179" s="1">
        <f t="shared" si="132"/>
        <v>1.585092718033248</v>
      </c>
      <c r="E179" s="1">
        <f t="shared" si="132"/>
        <v>1.3214673282037253</v>
      </c>
      <c r="F179" s="1">
        <f t="shared" si="132"/>
        <v>0.9611041017297238</v>
      </c>
      <c r="G179" s="1">
        <f t="shared" si="132"/>
        <v>0.646479860096965</v>
      </c>
      <c r="H179" s="1">
        <f t="shared" si="132"/>
        <v>0.40042667125447295</v>
      </c>
      <c r="I179" s="1">
        <f t="shared" si="132"/>
        <v>0.21723418974157122</v>
      </c>
      <c r="J179" s="1">
        <f t="shared" si="132"/>
        <v>0.09224482154552113</v>
      </c>
      <c r="K179" s="1">
        <f t="shared" si="132"/>
        <v>0.02470263464159732</v>
      </c>
      <c r="L179" s="1">
        <f t="shared" si="132"/>
        <v>0.015301378594146153</v>
      </c>
      <c r="M179" s="1">
        <f t="shared" si="132"/>
        <v>0.06306127524811632</v>
      </c>
      <c r="N179" s="1">
        <f t="shared" si="132"/>
        <v>0.16253222864281444</v>
      </c>
      <c r="O179" s="1">
        <f t="shared" si="132"/>
        <v>0.302357419680872</v>
      </c>
      <c r="P179" s="1">
        <f t="shared" si="132"/>
        <v>0.46544713111550107</v>
      </c>
      <c r="Q179" s="1">
        <f t="shared" si="132"/>
        <v>0.6300905800566163</v>
      </c>
      <c r="R179" s="1">
        <f t="shared" si="132"/>
        <v>0.7714037507510259</v>
      </c>
      <c r="S179" s="1">
        <f t="shared" si="132"/>
        <v>0.8626966657305774</v>
      </c>
      <c r="T179" s="1">
        <f t="shared" si="132"/>
        <v>0.8763823059733991</v>
      </c>
      <c r="U179" s="1">
        <f t="shared" si="132"/>
        <v>0.7859968261593778</v>
      </c>
      <c r="V179" s="1">
        <f t="shared" si="132"/>
        <v>0.5767613994391116</v>
      </c>
      <c r="W179" s="1">
        <f t="shared" si="132"/>
        <v>0.2811473984858176</v>
      </c>
      <c r="X179" s="1">
        <f t="shared" si="132"/>
        <v>0.051595203929067086</v>
      </c>
      <c r="Y179" s="1">
        <f t="shared" si="132"/>
        <v>0.18433871683474753</v>
      </c>
      <c r="Z179" s="1">
        <f t="shared" si="132"/>
        <v>0.8070212921160944</v>
      </c>
    </row>
    <row r="180" spans="1:26" ht="15">
      <c r="A180" s="5" t="s">
        <v>120</v>
      </c>
      <c r="B180" s="1">
        <f>(B162-$J$6)*$L$6</f>
        <v>0</v>
      </c>
      <c r="C180" s="1">
        <f aca="true" t="shared" si="133" ref="C180:Z180">(C162-$J$6)*$L$6</f>
        <v>-1.5755853260559336</v>
      </c>
      <c r="D180" s="1">
        <f t="shared" si="133"/>
        <v>-3.309360593849188</v>
      </c>
      <c r="E180" s="1">
        <f t="shared" si="133"/>
        <v>-4.80016158881864</v>
      </c>
      <c r="F180" s="1">
        <f t="shared" si="133"/>
        <v>-5.910323311952026</v>
      </c>
      <c r="G180" s="1">
        <f t="shared" si="133"/>
        <v>-6.687130557353761</v>
      </c>
      <c r="H180" s="1">
        <f t="shared" si="133"/>
        <v>-7.230217299101016</v>
      </c>
      <c r="I180" s="1">
        <f t="shared" si="133"/>
        <v>-7.6234297813708825</v>
      </c>
      <c r="J180" s="1">
        <f t="shared" si="133"/>
        <v>-7.916654282194083</v>
      </c>
      <c r="K180" s="1">
        <f t="shared" si="133"/>
        <v>-8.127501901352467</v>
      </c>
      <c r="L180" s="1">
        <f t="shared" si="133"/>
        <v>-8.248337800283597</v>
      </c>
      <c r="M180" s="1">
        <f t="shared" si="133"/>
        <v>-8.254224638712163</v>
      </c>
      <c r="N180" s="1">
        <f t="shared" si="133"/>
        <v>-8.110999301004226</v>
      </c>
      <c r="O180" s="1">
        <f t="shared" si="133"/>
        <v>-7.783460399795114</v>
      </c>
      <c r="P180" s="1">
        <f t="shared" si="133"/>
        <v>-7.243440500726848</v>
      </c>
      <c r="Q180" s="1">
        <f t="shared" si="133"/>
        <v>-6.47720693914763</v>
      </c>
      <c r="R180" s="1">
        <f t="shared" si="133"/>
        <v>-5.491556274364863</v>
      </c>
      <c r="S180" s="1">
        <f t="shared" si="133"/>
        <v>-4.318254709835739</v>
      </c>
      <c r="T180" s="1">
        <f t="shared" si="133"/>
        <v>-3.0170632198989358</v>
      </c>
      <c r="U180" s="1">
        <f t="shared" si="133"/>
        <v>-1.678334769446957</v>
      </c>
      <c r="V180" s="1">
        <f t="shared" si="133"/>
        <v>-0.42684846882525995</v>
      </c>
      <c r="W180" s="1">
        <f t="shared" si="133"/>
        <v>0.5719171444038321</v>
      </c>
      <c r="X180" s="1">
        <f t="shared" si="133"/>
        <v>1.1082005142679314</v>
      </c>
      <c r="Y180" s="1">
        <f t="shared" si="133"/>
        <v>0.9564949241626973</v>
      </c>
      <c r="Z180" s="1">
        <f t="shared" si="133"/>
        <v>-4.901079542207754E-16</v>
      </c>
    </row>
    <row r="181" ht="15.75" thickBot="1"/>
    <row r="182" spans="1:2" ht="16.5" thickBot="1">
      <c r="A182" s="165" t="s">
        <v>299</v>
      </c>
      <c r="B182" s="166"/>
    </row>
    <row r="183" spans="1:26" ht="15.75">
      <c r="A183" s="54" t="s">
        <v>121</v>
      </c>
      <c r="B183" s="1">
        <f>$B$11+($I$7-$B$11)*COS(B72)-($J$7-$B$12)*SIN(B72)</f>
        <v>5</v>
      </c>
      <c r="C183" s="1">
        <f aca="true" t="shared" si="134" ref="C183:Z183">$B$11+($I$7-$B$11)*COS(C72)-($J$7-$B$12)*SIN(C72)</f>
        <v>5.008890425442689</v>
      </c>
      <c r="D183" s="1">
        <f t="shared" si="134"/>
        <v>4.988032415158671</v>
      </c>
      <c r="E183" s="1">
        <f t="shared" si="134"/>
        <v>4.9590157753375435</v>
      </c>
      <c r="F183" s="1">
        <f t="shared" si="134"/>
        <v>4.941632052674343</v>
      </c>
      <c r="G183" s="1">
        <f t="shared" si="134"/>
        <v>4.942033335967616</v>
      </c>
      <c r="H183" s="1">
        <f t="shared" si="134"/>
        <v>4.95619185464921</v>
      </c>
      <c r="I183" s="1">
        <f t="shared" si="134"/>
        <v>4.976358035322539</v>
      </c>
      <c r="J183" s="1">
        <f t="shared" si="134"/>
        <v>4.995123613709116</v>
      </c>
      <c r="K183" s="1">
        <f t="shared" si="134"/>
        <v>5.007158861963637</v>
      </c>
      <c r="L183" s="1">
        <f t="shared" si="134"/>
        <v>5.009630745152293</v>
      </c>
      <c r="M183" s="1">
        <f t="shared" si="134"/>
        <v>5.001969605730546</v>
      </c>
      <c r="N183" s="1">
        <f t="shared" si="134"/>
        <v>4.985336563947209</v>
      </c>
      <c r="O183" s="1">
        <f t="shared" si="134"/>
        <v>4.961998238722899</v>
      </c>
      <c r="P183" s="1">
        <f t="shared" si="134"/>
        <v>4.93475473325552</v>
      </c>
      <c r="Q183" s="1">
        <f t="shared" si="134"/>
        <v>4.906521205398269</v>
      </c>
      <c r="R183" s="1">
        <f t="shared" si="134"/>
        <v>4.880109432921348</v>
      </c>
      <c r="S183" s="1">
        <f t="shared" si="134"/>
        <v>4.858202249506619</v>
      </c>
      <c r="T183" s="1">
        <f t="shared" si="134"/>
        <v>4.843473024994783</v>
      </c>
      <c r="U183" s="1">
        <f t="shared" si="134"/>
        <v>4.838763445073837</v>
      </c>
      <c r="V183" s="1">
        <f t="shared" si="134"/>
        <v>4.84713761673402</v>
      </c>
      <c r="W183" s="1">
        <f t="shared" si="134"/>
        <v>4.8713464645687985</v>
      </c>
      <c r="X183" s="1">
        <f t="shared" si="134"/>
        <v>4.911639759773975</v>
      </c>
      <c r="Y183" s="1">
        <f t="shared" si="134"/>
        <v>4.960796580338934</v>
      </c>
      <c r="Z183" s="1">
        <f t="shared" si="134"/>
        <v>5</v>
      </c>
    </row>
    <row r="184" spans="1:26" ht="15.75">
      <c r="A184" s="49" t="s">
        <v>122</v>
      </c>
      <c r="B184" s="1">
        <f>$B$12+($I$7-$B$11)*SIN(B72)+($J$7-$B$12)*COS(B72)</f>
        <v>0.2</v>
      </c>
      <c r="C184" s="1">
        <f aca="true" t="shared" si="135" ref="C184:Z184">$B$12+($I$7-$B$11)*SIN(C72)+($J$7-$B$12)*COS(C72)</f>
        <v>-0.06602468148117802</v>
      </c>
      <c r="D184" s="1">
        <f t="shared" si="135"/>
        <v>-0.2961876369438552</v>
      </c>
      <c r="E184" s="1">
        <f t="shared" si="135"/>
        <v>-0.44973013238902054</v>
      </c>
      <c r="F184" s="1">
        <f t="shared" si="135"/>
        <v>-0.5196777578727186</v>
      </c>
      <c r="G184" s="1">
        <f t="shared" si="135"/>
        <v>-0.5181761495770472</v>
      </c>
      <c r="H184" s="1">
        <f t="shared" si="135"/>
        <v>-0.4618586664815154</v>
      </c>
      <c r="I184" s="1">
        <f t="shared" si="135"/>
        <v>-0.36607228277490655</v>
      </c>
      <c r="J184" s="1">
        <f t="shared" si="135"/>
        <v>-0.2438888394746248</v>
      </c>
      <c r="K184" s="1">
        <f t="shared" si="135"/>
        <v>-0.10636401102271167</v>
      </c>
      <c r="L184" s="1">
        <f t="shared" si="135"/>
        <v>0.03720575410660343</v>
      </c>
      <c r="M184" s="1">
        <f t="shared" si="135"/>
        <v>0.17921411141727048</v>
      </c>
      <c r="N184" s="1">
        <f t="shared" si="135"/>
        <v>0.31374946669961057</v>
      </c>
      <c r="O184" s="1">
        <f t="shared" si="135"/>
        <v>0.43653512029187613</v>
      </c>
      <c r="P184" s="1">
        <f t="shared" si="135"/>
        <v>0.5447238953317192</v>
      </c>
      <c r="Q184" s="1">
        <f t="shared" si="135"/>
        <v>0.6365350684500669</v>
      </c>
      <c r="R184" s="1">
        <f t="shared" si="135"/>
        <v>0.7107661501789225</v>
      </c>
      <c r="S184" s="1">
        <f t="shared" si="135"/>
        <v>0.7662143302813782</v>
      </c>
      <c r="T184" s="1">
        <f t="shared" si="135"/>
        <v>0.8010038739710218</v>
      </c>
      <c r="U184" s="1">
        <f t="shared" si="135"/>
        <v>0.8117567326854744</v>
      </c>
      <c r="V184" s="1">
        <f t="shared" si="135"/>
        <v>0.7925166401067946</v>
      </c>
      <c r="W184" s="1">
        <f t="shared" si="135"/>
        <v>0.733527374776059</v>
      </c>
      <c r="X184" s="1">
        <f t="shared" si="135"/>
        <v>0.6209939040371475</v>
      </c>
      <c r="Y184" s="1">
        <f t="shared" si="135"/>
        <v>0.4419013131131701</v>
      </c>
      <c r="Z184" s="1">
        <f t="shared" si="135"/>
        <v>0.2</v>
      </c>
    </row>
    <row r="185" spans="1:26" ht="15.75">
      <c r="A185" s="66" t="s">
        <v>123</v>
      </c>
      <c r="B185" s="1">
        <f aca="true" t="shared" si="136" ref="B185:Z185">-B76*(B184-$B$12)</f>
        <v>0.10062979153458829</v>
      </c>
      <c r="C185" s="1">
        <f t="shared" si="136"/>
        <v>-0.03235425878532465</v>
      </c>
      <c r="D185" s="1">
        <f t="shared" si="136"/>
        <v>-0.1114909120273937</v>
      </c>
      <c r="E185" s="1">
        <f t="shared" si="136"/>
        <v>-0.09695989456353771</v>
      </c>
      <c r="F185" s="1">
        <f t="shared" si="136"/>
        <v>-0.03206882188823571</v>
      </c>
      <c r="G185" s="1">
        <f t="shared" si="136"/>
        <v>0.032067509696776714</v>
      </c>
      <c r="H185" s="1">
        <f t="shared" si="136"/>
        <v>0.07027346045644557</v>
      </c>
      <c r="I185" s="1">
        <f t="shared" si="136"/>
        <v>0.07803001700901482</v>
      </c>
      <c r="J185" s="1">
        <f t="shared" si="136"/>
        <v>0.06105332736092446</v>
      </c>
      <c r="K185" s="1">
        <f t="shared" si="136"/>
        <v>0.028575654377232477</v>
      </c>
      <c r="L185" s="1">
        <f t="shared" si="136"/>
        <v>-0.010126992761426616</v>
      </c>
      <c r="M185" s="1">
        <f t="shared" si="136"/>
        <v>-0.0473498734047721</v>
      </c>
      <c r="N185" s="1">
        <f t="shared" si="136"/>
        <v>-0.0776537268813172</v>
      </c>
      <c r="O185" s="1">
        <f t="shared" si="136"/>
        <v>-0.09797166093405796</v>
      </c>
      <c r="P185" s="1">
        <f t="shared" si="136"/>
        <v>-0.10719998989789647</v>
      </c>
      <c r="Q185" s="1">
        <f t="shared" si="136"/>
        <v>-0.10546120597527187</v>
      </c>
      <c r="R185" s="1">
        <f t="shared" si="136"/>
        <v>-0.09332305321449237</v>
      </c>
      <c r="S185" s="1">
        <f t="shared" si="136"/>
        <v>-0.07115283975546209</v>
      </c>
      <c r="T185" s="1">
        <f t="shared" si="136"/>
        <v>-0.03868849446226723</v>
      </c>
      <c r="U185" s="1">
        <f t="shared" si="136"/>
        <v>0.004969325575362501</v>
      </c>
      <c r="V185" s="1">
        <f t="shared" si="136"/>
        <v>0.06028279555872181</v>
      </c>
      <c r="W185" s="1">
        <f t="shared" si="136"/>
        <v>0.12346432265804344</v>
      </c>
      <c r="X185" s="1">
        <f t="shared" si="136"/>
        <v>0.17748787552792117</v>
      </c>
      <c r="Y185" s="1">
        <f t="shared" si="136"/>
        <v>0.18265678302960858</v>
      </c>
      <c r="Z185" s="1">
        <f t="shared" si="136"/>
        <v>0.10027870307147538</v>
      </c>
    </row>
    <row r="186" spans="1:26" ht="15.75">
      <c r="A186" s="49" t="s">
        <v>124</v>
      </c>
      <c r="B186" s="1">
        <f aca="true" t="shared" si="137" ref="B186:Z186">B76*(B183-$B$11)</f>
        <v>-1.0062979153458829</v>
      </c>
      <c r="C186" s="1">
        <f t="shared" si="137"/>
        <v>-0.9844221772529487</v>
      </c>
      <c r="D186" s="1">
        <f t="shared" si="137"/>
        <v>-0.7483349048362795</v>
      </c>
      <c r="E186" s="1">
        <f t="shared" si="137"/>
        <v>-0.4223554290570202</v>
      </c>
      <c r="F186" s="1">
        <f t="shared" si="137"/>
        <v>-0.1198162736935018</v>
      </c>
      <c r="G186" s="1">
        <f t="shared" si="137"/>
        <v>0.12018340265841464</v>
      </c>
      <c r="H186" s="1">
        <f t="shared" si="137"/>
        <v>0.2976416400068005</v>
      </c>
      <c r="I186" s="1">
        <f t="shared" si="137"/>
        <v>0.4212699468616856</v>
      </c>
      <c r="J186" s="1">
        <f t="shared" si="137"/>
        <v>0.499444482066867</v>
      </c>
      <c r="K186" s="1">
        <f t="shared" si="137"/>
        <v>0.5392413972375025</v>
      </c>
      <c r="L186" s="1">
        <f t="shared" si="137"/>
        <v>0.546999153705786</v>
      </c>
      <c r="M186" s="1">
        <f t="shared" si="137"/>
        <v>0.5289371838070998</v>
      </c>
      <c r="N186" s="1">
        <f t="shared" si="137"/>
        <v>0.4913754433624371</v>
      </c>
      <c r="O186" s="1">
        <f t="shared" si="137"/>
        <v>0.44033164174478434</v>
      </c>
      <c r="P186" s="1">
        <f t="shared" si="137"/>
        <v>0.38075379038328366</v>
      </c>
      <c r="Q186" s="1">
        <f t="shared" si="137"/>
        <v>0.315872660446363</v>
      </c>
      <c r="R186" s="1">
        <f t="shared" si="137"/>
        <v>0.2468569340470417</v>
      </c>
      <c r="S186" s="1">
        <f t="shared" si="137"/>
        <v>0.1725579406010713</v>
      </c>
      <c r="T186" s="1">
        <f t="shared" si="137"/>
        <v>0.08903976402170294</v>
      </c>
      <c r="U186" s="1">
        <f t="shared" si="137"/>
        <v>-0.011256345462535863</v>
      </c>
      <c r="V186" s="1">
        <f t="shared" si="137"/>
        <v>-0.14050256320598728</v>
      </c>
      <c r="W186" s="1">
        <f t="shared" si="137"/>
        <v>-0.31497737051333274</v>
      </c>
      <c r="X186" s="1">
        <f t="shared" si="137"/>
        <v>-0.5463707091667234</v>
      </c>
      <c r="Y186" s="1">
        <f t="shared" si="137"/>
        <v>-0.8104814014174354</v>
      </c>
      <c r="Z186" s="1">
        <f t="shared" si="137"/>
        <v>-1.0027870307147537</v>
      </c>
    </row>
    <row r="187" spans="1:26" ht="15.75">
      <c r="A187" s="49" t="s">
        <v>125</v>
      </c>
      <c r="B187" s="1">
        <f aca="true" t="shared" si="138" ref="B187:Z187">-B82*(B184-$B$12)-B76^2*(B183-$B$11)</f>
        <v>-0.4729055435574165</v>
      </c>
      <c r="C187" s="1">
        <f t="shared" si="138"/>
        <v>-0.46493254426513186</v>
      </c>
      <c r="D187" s="1">
        <f t="shared" si="138"/>
        <v>-0.11279648821940597</v>
      </c>
      <c r="E187" s="1">
        <f t="shared" si="138"/>
        <v>0.18999663244084458</v>
      </c>
      <c r="F187" s="1">
        <f t="shared" si="138"/>
        <v>0.2699200349400908</v>
      </c>
      <c r="G187" s="1">
        <f t="shared" si="138"/>
        <v>0.2022631099414135</v>
      </c>
      <c r="H187" s="1">
        <f t="shared" si="138"/>
        <v>0.08577407852619688</v>
      </c>
      <c r="I187" s="1">
        <f t="shared" si="138"/>
        <v>-0.022798300341638295</v>
      </c>
      <c r="J187" s="1">
        <f t="shared" si="138"/>
        <v>-0.09999942903307955</v>
      </c>
      <c r="K187" s="1">
        <f t="shared" si="138"/>
        <v>-0.14070129971291803</v>
      </c>
      <c r="L187" s="1">
        <f t="shared" si="138"/>
        <v>-0.14849540211254247</v>
      </c>
      <c r="M187" s="1">
        <f t="shared" si="138"/>
        <v>-0.1310105562858482</v>
      </c>
      <c r="N187" s="1">
        <f t="shared" si="138"/>
        <v>-0.09743675950392339</v>
      </c>
      <c r="O187" s="1">
        <f t="shared" si="138"/>
        <v>-0.056334672012479374</v>
      </c>
      <c r="P187" s="1">
        <f t="shared" si="138"/>
        <v>-0.01388662349982546</v>
      </c>
      <c r="Q187" s="1">
        <f t="shared" si="138"/>
        <v>0.026742125894832186</v>
      </c>
      <c r="R187" s="1">
        <f t="shared" si="138"/>
        <v>0.06515359071063284</v>
      </c>
      <c r="S187" s="1">
        <f t="shared" si="138"/>
        <v>0.10310913374927305</v>
      </c>
      <c r="T187" s="1">
        <f t="shared" si="138"/>
        <v>0.14346095119813942</v>
      </c>
      <c r="U187" s="1">
        <f t="shared" si="138"/>
        <v>0.1876495892138214</v>
      </c>
      <c r="V187" s="1">
        <f t="shared" si="138"/>
        <v>0.2293184624033721</v>
      </c>
      <c r="W187" s="1">
        <f t="shared" si="138"/>
        <v>0.23927874469610444</v>
      </c>
      <c r="X187" s="1">
        <f t="shared" si="138"/>
        <v>0.14446576579125273</v>
      </c>
      <c r="Y187" s="1">
        <f t="shared" si="138"/>
        <v>-0.13507489490935448</v>
      </c>
      <c r="Z187" s="1">
        <f t="shared" si="138"/>
        <v>-0.46791672046539073</v>
      </c>
    </row>
    <row r="188" spans="1:26" ht="16.5" thickBot="1">
      <c r="A188" s="67" t="s">
        <v>126</v>
      </c>
      <c r="B188" s="1">
        <f aca="true" t="shared" si="139" ref="B188:Z188">B82*(B183-$B$11)-B76^2*(B184-$B$12)</f>
        <v>-0.38475381129465647</v>
      </c>
      <c r="C188" s="1">
        <f t="shared" si="139"/>
        <v>0.5472996410948547</v>
      </c>
      <c r="D188" s="1">
        <f t="shared" si="139"/>
        <v>1.1755800544463106</v>
      </c>
      <c r="E188" s="1">
        <f t="shared" si="139"/>
        <v>1.2451728036224567</v>
      </c>
      <c r="F188" s="1">
        <f t="shared" si="139"/>
        <v>1.0380851058279914</v>
      </c>
      <c r="G188" s="1">
        <f t="shared" si="139"/>
        <v>0.787905961956494</v>
      </c>
      <c r="H188" s="1">
        <f t="shared" si="139"/>
        <v>0.5657996218934392</v>
      </c>
      <c r="I188" s="1">
        <f t="shared" si="139"/>
        <v>0.37833907162139</v>
      </c>
      <c r="J188" s="1">
        <f t="shared" si="139"/>
        <v>0.22002268469172162</v>
      </c>
      <c r="K188" s="1">
        <f t="shared" si="139"/>
        <v>0.08638252563824417</v>
      </c>
      <c r="L188" s="1">
        <f t="shared" si="139"/>
        <v>-0.023913089775543486</v>
      </c>
      <c r="M188" s="1">
        <f t="shared" si="139"/>
        <v>-0.11013308636817867</v>
      </c>
      <c r="N188" s="1">
        <f t="shared" si="139"/>
        <v>-0.17222393042106512</v>
      </c>
      <c r="O188" s="1">
        <f t="shared" si="139"/>
        <v>-0.21295393996744688</v>
      </c>
      <c r="P188" s="1">
        <f t="shared" si="139"/>
        <v>-0.2379151663636877</v>
      </c>
      <c r="Q188" s="1">
        <f t="shared" si="139"/>
        <v>-0.25431754148805175</v>
      </c>
      <c r="R188" s="1">
        <f t="shared" si="139"/>
        <v>-0.2703328212574126</v>
      </c>
      <c r="S188" s="1">
        <f t="shared" si="139"/>
        <v>-0.2955264405772373</v>
      </c>
      <c r="T188" s="1">
        <f t="shared" si="139"/>
        <v>-0.34193501648978175</v>
      </c>
      <c r="U188" s="1">
        <f t="shared" si="139"/>
        <v>-0.42524390712148546</v>
      </c>
      <c r="V188" s="1">
        <f t="shared" si="139"/>
        <v>-0.5639726930711166</v>
      </c>
      <c r="W188" s="1">
        <f t="shared" si="139"/>
        <v>-0.766471211807279</v>
      </c>
      <c r="X188" s="1">
        <f t="shared" si="139"/>
        <v>-0.9761599842874704</v>
      </c>
      <c r="Y188" s="1">
        <f t="shared" si="139"/>
        <v>-0.9626339587125217</v>
      </c>
      <c r="Z188" s="1">
        <f t="shared" si="139"/>
        <v>-0.39902103164314096</v>
      </c>
    </row>
    <row r="189" spans="1:26" ht="15">
      <c r="A189" s="5" t="s">
        <v>127</v>
      </c>
      <c r="B189" s="1">
        <f aca="true" t="shared" si="140" ref="B189:Z189">(B183-B96)^2+(B184-B97)^2</f>
        <v>29.766377515236428</v>
      </c>
      <c r="C189" s="1">
        <f t="shared" si="140"/>
        <v>29.766377515236428</v>
      </c>
      <c r="D189" s="1">
        <f t="shared" si="140"/>
        <v>29.76637751523643</v>
      </c>
      <c r="E189" s="1">
        <f t="shared" si="140"/>
        <v>29.76637751523643</v>
      </c>
      <c r="F189" s="1">
        <f t="shared" si="140"/>
        <v>29.766377515236428</v>
      </c>
      <c r="G189" s="1">
        <f t="shared" si="140"/>
        <v>29.766377515236428</v>
      </c>
      <c r="H189" s="1">
        <f t="shared" si="140"/>
        <v>29.76637751523642</v>
      </c>
      <c r="I189" s="1">
        <f t="shared" si="140"/>
        <v>29.766377515236417</v>
      </c>
      <c r="J189" s="1">
        <f t="shared" si="140"/>
        <v>29.766377515236428</v>
      </c>
      <c r="K189" s="1">
        <f t="shared" si="140"/>
        <v>29.766377515236428</v>
      </c>
      <c r="L189" s="1">
        <f t="shared" si="140"/>
        <v>29.766377515236435</v>
      </c>
      <c r="M189" s="1">
        <f t="shared" si="140"/>
        <v>29.766377515236425</v>
      </c>
      <c r="N189" s="1">
        <f t="shared" si="140"/>
        <v>29.76637751523643</v>
      </c>
      <c r="O189" s="1">
        <f t="shared" si="140"/>
        <v>29.766377515236425</v>
      </c>
      <c r="P189" s="1">
        <f t="shared" si="140"/>
        <v>29.766377515236428</v>
      </c>
      <c r="Q189" s="1">
        <f t="shared" si="140"/>
        <v>29.766377515236425</v>
      </c>
      <c r="R189" s="1">
        <f t="shared" si="140"/>
        <v>29.766377515236425</v>
      </c>
      <c r="S189" s="1">
        <f t="shared" si="140"/>
        <v>29.766377515236428</v>
      </c>
      <c r="T189" s="1">
        <f t="shared" si="140"/>
        <v>29.766377515236428</v>
      </c>
      <c r="U189" s="1">
        <f t="shared" si="140"/>
        <v>29.766377515236428</v>
      </c>
      <c r="V189" s="1">
        <f t="shared" si="140"/>
        <v>29.766377515236428</v>
      </c>
      <c r="W189" s="1">
        <f t="shared" si="140"/>
        <v>29.766377515236414</v>
      </c>
      <c r="X189" s="1">
        <f t="shared" si="140"/>
        <v>29.766377515236435</v>
      </c>
      <c r="Y189" s="1">
        <f t="shared" si="140"/>
        <v>29.766377515236428</v>
      </c>
      <c r="Z189" s="1">
        <f t="shared" si="140"/>
        <v>29.766377515236428</v>
      </c>
    </row>
    <row r="190" spans="1:26" ht="15">
      <c r="A190" s="5" t="s">
        <v>136</v>
      </c>
      <c r="B190" s="1">
        <f>(B183-$B$11)^2+(B184-$B$12)^2</f>
        <v>4.04</v>
      </c>
      <c r="C190" s="1">
        <f>(C183-$B$11)^2+(C184-$B$12)^2</f>
        <v>4.04</v>
      </c>
      <c r="D190" s="1">
        <f aca="true" t="shared" si="141" ref="D190:Z190">(D183-$B$11)^2+(D184-$B$12)^2</f>
        <v>4.040000000000002</v>
      </c>
      <c r="E190" s="1">
        <f t="shared" si="141"/>
        <v>4.040000000000003</v>
      </c>
      <c r="F190" s="1">
        <f t="shared" si="141"/>
        <v>4.04</v>
      </c>
      <c r="G190" s="1">
        <f t="shared" si="141"/>
        <v>4.040000000000001</v>
      </c>
      <c r="H190" s="1">
        <f t="shared" si="141"/>
        <v>4.039999999999998</v>
      </c>
      <c r="I190" s="1">
        <f t="shared" si="141"/>
        <v>4.039999999999997</v>
      </c>
      <c r="J190" s="1">
        <f t="shared" si="141"/>
        <v>4.040000000000001</v>
      </c>
      <c r="K190" s="1">
        <f t="shared" si="141"/>
        <v>4.040000000000002</v>
      </c>
      <c r="L190" s="1">
        <f t="shared" si="141"/>
        <v>4.040000000000002</v>
      </c>
      <c r="M190" s="1">
        <f t="shared" si="141"/>
        <v>4.039999999999998</v>
      </c>
      <c r="N190" s="1">
        <f t="shared" si="141"/>
        <v>4.040000000000001</v>
      </c>
      <c r="O190" s="1">
        <f t="shared" si="141"/>
        <v>4.039999999999999</v>
      </c>
      <c r="P190" s="1">
        <f t="shared" si="141"/>
        <v>4.040000000000001</v>
      </c>
      <c r="Q190" s="1">
        <f t="shared" si="141"/>
        <v>4.039999999999999</v>
      </c>
      <c r="R190" s="1">
        <f t="shared" si="141"/>
        <v>4.039999999999998</v>
      </c>
      <c r="S190" s="1">
        <f t="shared" si="141"/>
        <v>4.040000000000001</v>
      </c>
      <c r="T190" s="1">
        <f t="shared" si="141"/>
        <v>4.039999999999999</v>
      </c>
      <c r="U190" s="1">
        <f t="shared" si="141"/>
        <v>4.040000000000001</v>
      </c>
      <c r="V190" s="1">
        <f t="shared" si="141"/>
        <v>4.039999999999999</v>
      </c>
      <c r="W190" s="1">
        <f t="shared" si="141"/>
        <v>4.039999999999998</v>
      </c>
      <c r="X190" s="1">
        <f t="shared" si="141"/>
        <v>4.04</v>
      </c>
      <c r="Y190" s="1">
        <f t="shared" si="141"/>
        <v>4.04</v>
      </c>
      <c r="Z190" s="1">
        <f t="shared" si="141"/>
        <v>4.04</v>
      </c>
    </row>
    <row r="191" ht="15.75" thickBot="1">
      <c r="A191" s="5"/>
    </row>
    <row r="192" spans="1:26" ht="15.75">
      <c r="A192" s="68" t="s">
        <v>128</v>
      </c>
      <c r="B192" s="1">
        <f>$K$7*B187</f>
        <v>-0.14187166306722493</v>
      </c>
      <c r="C192" s="1">
        <f aca="true" t="shared" si="142" ref="C192:Z192">$K$7*C187</f>
        <v>-0.13947976327953956</v>
      </c>
      <c r="D192" s="1">
        <f t="shared" si="142"/>
        <v>-0.033838946465821786</v>
      </c>
      <c r="E192" s="1">
        <f t="shared" si="142"/>
        <v>0.05699898973225337</v>
      </c>
      <c r="F192" s="1">
        <f t="shared" si="142"/>
        <v>0.08097601048202724</v>
      </c>
      <c r="G192" s="1">
        <f t="shared" si="142"/>
        <v>0.06067893298242405</v>
      </c>
      <c r="H192" s="1">
        <f t="shared" si="142"/>
        <v>0.025732223557859063</v>
      </c>
      <c r="I192" s="1">
        <f t="shared" si="142"/>
        <v>-0.0068394901024914885</v>
      </c>
      <c r="J192" s="1">
        <f t="shared" si="142"/>
        <v>-0.029999828709923865</v>
      </c>
      <c r="K192" s="1">
        <f t="shared" si="142"/>
        <v>-0.04221038991387541</v>
      </c>
      <c r="L192" s="1">
        <f t="shared" si="142"/>
        <v>-0.04454862063376274</v>
      </c>
      <c r="M192" s="1">
        <f t="shared" si="142"/>
        <v>-0.03930316688575446</v>
      </c>
      <c r="N192" s="1">
        <f t="shared" si="142"/>
        <v>-0.029231027851177014</v>
      </c>
      <c r="O192" s="1">
        <f t="shared" si="142"/>
        <v>-0.01690040160374381</v>
      </c>
      <c r="P192" s="1">
        <f t="shared" si="142"/>
        <v>-0.0041659870499476375</v>
      </c>
      <c r="Q192" s="1">
        <f t="shared" si="142"/>
        <v>0.008022637768449655</v>
      </c>
      <c r="R192" s="1">
        <f t="shared" si="142"/>
        <v>0.019546077213189853</v>
      </c>
      <c r="S192" s="1">
        <f t="shared" si="142"/>
        <v>0.030932740124781914</v>
      </c>
      <c r="T192" s="1">
        <f t="shared" si="142"/>
        <v>0.043038285359441826</v>
      </c>
      <c r="U192" s="1">
        <f t="shared" si="142"/>
        <v>0.05629487676414642</v>
      </c>
      <c r="V192" s="1">
        <f t="shared" si="142"/>
        <v>0.06879553872101163</v>
      </c>
      <c r="W192" s="1">
        <f t="shared" si="142"/>
        <v>0.07178362340883133</v>
      </c>
      <c r="X192" s="1">
        <f t="shared" si="142"/>
        <v>0.043339729737375814</v>
      </c>
      <c r="Y192" s="1">
        <f t="shared" si="142"/>
        <v>-0.04052246847280634</v>
      </c>
      <c r="Z192" s="1">
        <f t="shared" si="142"/>
        <v>-0.14037501613961723</v>
      </c>
    </row>
    <row r="193" spans="1:26" ht="15.75">
      <c r="A193" s="66" t="s">
        <v>129</v>
      </c>
      <c r="B193" s="1">
        <f>$K$7*B188</f>
        <v>-0.11542614338839693</v>
      </c>
      <c r="C193" s="1">
        <f aca="true" t="shared" si="143" ref="C193:Z193">$K$7*C188</f>
        <v>0.1641898923284564</v>
      </c>
      <c r="D193" s="1">
        <f t="shared" si="143"/>
        <v>0.35267401633389317</v>
      </c>
      <c r="E193" s="1">
        <f t="shared" si="143"/>
        <v>0.373551841086737</v>
      </c>
      <c r="F193" s="1">
        <f t="shared" si="143"/>
        <v>0.31142553174839743</v>
      </c>
      <c r="G193" s="1">
        <f t="shared" si="143"/>
        <v>0.23637178858694818</v>
      </c>
      <c r="H193" s="1">
        <f t="shared" si="143"/>
        <v>0.16973988656803177</v>
      </c>
      <c r="I193" s="1">
        <f t="shared" si="143"/>
        <v>0.113501721486417</v>
      </c>
      <c r="J193" s="1">
        <f t="shared" si="143"/>
        <v>0.06600680540751648</v>
      </c>
      <c r="K193" s="1">
        <f t="shared" si="143"/>
        <v>0.02591475769147325</v>
      </c>
      <c r="L193" s="1">
        <f t="shared" si="143"/>
        <v>-0.0071739269326630455</v>
      </c>
      <c r="M193" s="1">
        <f t="shared" si="143"/>
        <v>-0.0330399259104536</v>
      </c>
      <c r="N193" s="1">
        <f t="shared" si="143"/>
        <v>-0.05166717912631954</v>
      </c>
      <c r="O193" s="1">
        <f t="shared" si="143"/>
        <v>-0.06388618199023406</v>
      </c>
      <c r="P193" s="1">
        <f t="shared" si="143"/>
        <v>-0.07137454990910631</v>
      </c>
      <c r="Q193" s="1">
        <f t="shared" si="143"/>
        <v>-0.07629526244641552</v>
      </c>
      <c r="R193" s="1">
        <f t="shared" si="143"/>
        <v>-0.08109984637722377</v>
      </c>
      <c r="S193" s="1">
        <f t="shared" si="143"/>
        <v>-0.0886579321731712</v>
      </c>
      <c r="T193" s="1">
        <f t="shared" si="143"/>
        <v>-0.10258050494693452</v>
      </c>
      <c r="U193" s="1">
        <f t="shared" si="143"/>
        <v>-0.12757317213644565</v>
      </c>
      <c r="V193" s="1">
        <f t="shared" si="143"/>
        <v>-0.16919180792133498</v>
      </c>
      <c r="W193" s="1">
        <f t="shared" si="143"/>
        <v>-0.22994136354218367</v>
      </c>
      <c r="X193" s="1">
        <f t="shared" si="143"/>
        <v>-0.2928479952862411</v>
      </c>
      <c r="Y193" s="1">
        <f t="shared" si="143"/>
        <v>-0.28879018761375647</v>
      </c>
      <c r="Z193" s="1">
        <f t="shared" si="143"/>
        <v>-0.11970630949294228</v>
      </c>
    </row>
    <row r="194" spans="1:26" ht="16.5" thickBot="1">
      <c r="A194" s="67" t="s">
        <v>130</v>
      </c>
      <c r="B194" s="1">
        <f>$M$7*B82</f>
        <v>-0.2004732219439098</v>
      </c>
      <c r="C194" s="1">
        <f aca="true" t="shared" si="144" ref="C194:Z194">$M$7*C82</f>
        <v>0.3174558373361391</v>
      </c>
      <c r="D194" s="1">
        <f t="shared" si="144"/>
        <v>0.6842620780847488</v>
      </c>
      <c r="E194" s="1">
        <f t="shared" si="144"/>
        <v>0.7499288245481458</v>
      </c>
      <c r="F194" s="1">
        <f t="shared" si="144"/>
        <v>0.6403517089431856</v>
      </c>
      <c r="G194" s="1">
        <f t="shared" si="144"/>
        <v>0.4856279890806129</v>
      </c>
      <c r="H194" s="1">
        <f t="shared" si="144"/>
        <v>0.3405232019519819</v>
      </c>
      <c r="I194" s="1">
        <f t="shared" si="144"/>
        <v>0.21962009062157015</v>
      </c>
      <c r="J194" s="1">
        <f t="shared" si="144"/>
        <v>0.12314367596587901</v>
      </c>
      <c r="K194" s="1">
        <f t="shared" si="144"/>
        <v>0.04705482096832519</v>
      </c>
      <c r="L194" s="1">
        <f t="shared" si="144"/>
        <v>-0.012633147626007523</v>
      </c>
      <c r="M194" s="1">
        <f t="shared" si="144"/>
        <v>-0.05851608447425949</v>
      </c>
      <c r="N194" s="1">
        <f t="shared" si="144"/>
        <v>-0.09248071334267714</v>
      </c>
      <c r="O194" s="1">
        <f t="shared" si="144"/>
        <v>-0.11679896801633514</v>
      </c>
      <c r="P194" s="1">
        <f t="shared" si="144"/>
        <v>-0.13447815403651167</v>
      </c>
      <c r="Q194" s="1">
        <f t="shared" si="144"/>
        <v>-0.14907448119466102</v>
      </c>
      <c r="R194" s="1">
        <f t="shared" si="144"/>
        <v>-0.16472205567743525</v>
      </c>
      <c r="S194" s="1">
        <f t="shared" si="144"/>
        <v>-0.1865796809497719</v>
      </c>
      <c r="T194" s="1">
        <f t="shared" si="144"/>
        <v>-0.22136458124950584</v>
      </c>
      <c r="U194" s="1">
        <f t="shared" si="144"/>
        <v>-0.2774996343817854</v>
      </c>
      <c r="V194" s="1">
        <f t="shared" si="144"/>
        <v>-0.36340808124380986</v>
      </c>
      <c r="W194" s="1">
        <f t="shared" si="144"/>
        <v>-0.4781734757958294</v>
      </c>
      <c r="X194" s="1">
        <f t="shared" si="144"/>
        <v>-0.5809243359691169</v>
      </c>
      <c r="Y194" s="1">
        <f t="shared" si="144"/>
        <v>-0.542922653742349</v>
      </c>
      <c r="Z194" s="1">
        <f t="shared" si="144"/>
        <v>-0.2092451641167932</v>
      </c>
    </row>
    <row r="195" ht="15.75" thickBot="1"/>
    <row r="196" spans="1:26" ht="15.75">
      <c r="A196" s="68" t="s">
        <v>131</v>
      </c>
      <c r="B196" s="1">
        <f aca="true" t="shared" si="145" ref="B196:Z196">B185*B192+B186*B193+B194*B76</f>
        <v>0.20274446425145304</v>
      </c>
      <c r="C196" s="1">
        <f t="shared" si="145"/>
        <v>-0.31268317617248803</v>
      </c>
      <c r="D196" s="1">
        <f t="shared" si="145"/>
        <v>-0.5177153844656859</v>
      </c>
      <c r="E196" s="1">
        <f t="shared" si="145"/>
        <v>-0.32497971380723867</v>
      </c>
      <c r="F196" s="1">
        <f t="shared" si="145"/>
        <v>-0.07942614903861535</v>
      </c>
      <c r="G196" s="1">
        <f t="shared" si="145"/>
        <v>0.060407043677667305</v>
      </c>
      <c r="H196" s="1">
        <f t="shared" si="145"/>
        <v>0.10414178289180898</v>
      </c>
      <c r="I196" s="1">
        <f t="shared" si="145"/>
        <v>0.09409422681883893</v>
      </c>
      <c r="J196" s="1">
        <f t="shared" si="145"/>
        <v>0.06196202198718838</v>
      </c>
      <c r="K196" s="1">
        <f t="shared" si="145"/>
        <v>0.02540982423065504</v>
      </c>
      <c r="L196" s="1">
        <f t="shared" si="145"/>
        <v>-0.0069115907806639515</v>
      </c>
      <c r="M196" s="1">
        <f t="shared" si="145"/>
        <v>-0.031075486365866475</v>
      </c>
      <c r="N196" s="1">
        <f t="shared" si="145"/>
        <v>-0.04600727766584667</v>
      </c>
      <c r="O196" s="1">
        <f t="shared" si="145"/>
        <v>-0.0526885618216226</v>
      </c>
      <c r="P196" s="1">
        <f t="shared" si="145"/>
        <v>-0.05319442441257336</v>
      </c>
      <c r="Q196" s="1">
        <f t="shared" si="145"/>
        <v>-0.049644342387087245</v>
      </c>
      <c r="R196" s="1">
        <f t="shared" si="145"/>
        <v>-0.0434720392622376</v>
      </c>
      <c r="S196" s="1">
        <f t="shared" si="145"/>
        <v>-0.034825901797075405</v>
      </c>
      <c r="T196" s="1">
        <f t="shared" si="145"/>
        <v>-0.02149074172393843</v>
      </c>
      <c r="U196" s="1">
        <f t="shared" si="145"/>
        <v>0.0034145228604480515</v>
      </c>
      <c r="V196" s="1">
        <f t="shared" si="145"/>
        <v>0.05556171372848688</v>
      </c>
      <c r="W196" s="1">
        <f t="shared" si="145"/>
        <v>0.16177324300077855</v>
      </c>
      <c r="X196" s="1">
        <f t="shared" si="145"/>
        <v>0.3337313319539329</v>
      </c>
      <c r="Y196" s="1">
        <f t="shared" si="145"/>
        <v>0.4510706120838527</v>
      </c>
      <c r="Z196" s="1">
        <f t="shared" si="145"/>
        <v>0.21087747850018088</v>
      </c>
    </row>
    <row r="197" spans="1:26" ht="15.75">
      <c r="A197" s="66" t="s">
        <v>132</v>
      </c>
      <c r="B197" s="1">
        <f>$L$7*B186</f>
        <v>-2.9615347648629333</v>
      </c>
      <c r="C197" s="1">
        <f aca="true" t="shared" si="146" ref="C197:Z197">$L$7*C186</f>
        <v>-2.897154467655428</v>
      </c>
      <c r="D197" s="1">
        <f t="shared" si="146"/>
        <v>-2.2023496249331704</v>
      </c>
      <c r="E197" s="1">
        <f t="shared" si="146"/>
        <v>-1.2429920277148105</v>
      </c>
      <c r="F197" s="1">
        <f t="shared" si="146"/>
        <v>-0.3526192934799758</v>
      </c>
      <c r="G197" s="1">
        <f t="shared" si="146"/>
        <v>0.3536997540237143</v>
      </c>
      <c r="H197" s="1">
        <f t="shared" si="146"/>
        <v>0.8759593465400138</v>
      </c>
      <c r="I197" s="1">
        <f t="shared" si="146"/>
        <v>1.239797453613941</v>
      </c>
      <c r="J197" s="1">
        <f t="shared" si="146"/>
        <v>1.4698651107227896</v>
      </c>
      <c r="K197" s="1">
        <f t="shared" si="146"/>
        <v>1.58698743206997</v>
      </c>
      <c r="L197" s="1">
        <f t="shared" si="146"/>
        <v>1.6098185093561281</v>
      </c>
      <c r="M197" s="1">
        <f t="shared" si="146"/>
        <v>1.5566621319442946</v>
      </c>
      <c r="N197" s="1">
        <f t="shared" si="146"/>
        <v>1.4461179298156523</v>
      </c>
      <c r="O197" s="1">
        <f t="shared" si="146"/>
        <v>1.2958960216549003</v>
      </c>
      <c r="P197" s="1">
        <f t="shared" si="146"/>
        <v>1.1205584050980038</v>
      </c>
      <c r="Q197" s="1">
        <f t="shared" si="146"/>
        <v>0.9296132396936463</v>
      </c>
      <c r="R197" s="1">
        <f t="shared" si="146"/>
        <v>0.7264999569004438</v>
      </c>
      <c r="S197" s="1">
        <f t="shared" si="146"/>
        <v>0.5078380191889529</v>
      </c>
      <c r="T197" s="1">
        <f t="shared" si="146"/>
        <v>0.26204402551587175</v>
      </c>
      <c r="U197" s="1">
        <f t="shared" si="146"/>
        <v>-0.033127424696243045</v>
      </c>
      <c r="V197" s="1">
        <f t="shared" si="146"/>
        <v>-0.4134990435152206</v>
      </c>
      <c r="W197" s="1">
        <f t="shared" si="146"/>
        <v>-0.9269784014207383</v>
      </c>
      <c r="X197" s="1">
        <f t="shared" si="146"/>
        <v>-1.607968997077667</v>
      </c>
      <c r="Y197" s="1">
        <f t="shared" si="146"/>
        <v>-2.3852467643715123</v>
      </c>
      <c r="Z197" s="1">
        <f t="shared" si="146"/>
        <v>-2.9512022313935202</v>
      </c>
    </row>
    <row r="198" spans="1:26" ht="16.5" thickBot="1">
      <c r="A198" s="67" t="s">
        <v>133</v>
      </c>
      <c r="B198" s="1">
        <f>SUM(B196:B197)</f>
        <v>-2.7587903006114805</v>
      </c>
      <c r="C198" s="1">
        <f aca="true" t="shared" si="147" ref="C198:Z198">SUM(C196:C197)</f>
        <v>-3.209837643827916</v>
      </c>
      <c r="D198" s="1">
        <f t="shared" si="147"/>
        <v>-2.7200650093988563</v>
      </c>
      <c r="E198" s="1">
        <f t="shared" si="147"/>
        <v>-1.567971741522049</v>
      </c>
      <c r="F198" s="1">
        <f t="shared" si="147"/>
        <v>-0.4320454425185911</v>
      </c>
      <c r="G198" s="1">
        <f t="shared" si="147"/>
        <v>0.4141067977013816</v>
      </c>
      <c r="H198" s="1">
        <f t="shared" si="147"/>
        <v>0.9801011294318228</v>
      </c>
      <c r="I198" s="1">
        <f t="shared" si="147"/>
        <v>1.3338916804327798</v>
      </c>
      <c r="J198" s="1">
        <f t="shared" si="147"/>
        <v>1.531827132709978</v>
      </c>
      <c r="K198" s="1">
        <f t="shared" si="147"/>
        <v>1.612397256300625</v>
      </c>
      <c r="L198" s="1">
        <f t="shared" si="147"/>
        <v>1.602906918575464</v>
      </c>
      <c r="M198" s="1">
        <f t="shared" si="147"/>
        <v>1.5255866455784282</v>
      </c>
      <c r="N198" s="1">
        <f t="shared" si="147"/>
        <v>1.4001106521498057</v>
      </c>
      <c r="O198" s="1">
        <f t="shared" si="147"/>
        <v>1.2432074598332776</v>
      </c>
      <c r="P198" s="1">
        <f t="shared" si="147"/>
        <v>1.0673639806854305</v>
      </c>
      <c r="Q198" s="1">
        <f t="shared" si="147"/>
        <v>0.879968897306559</v>
      </c>
      <c r="R198" s="1">
        <f t="shared" si="147"/>
        <v>0.6830279176382061</v>
      </c>
      <c r="S198" s="1">
        <f t="shared" si="147"/>
        <v>0.4730121173918775</v>
      </c>
      <c r="T198" s="1">
        <f t="shared" si="147"/>
        <v>0.2405532837919333</v>
      </c>
      <c r="U198" s="1">
        <f t="shared" si="147"/>
        <v>-0.029712901835794992</v>
      </c>
      <c r="V198" s="1">
        <f t="shared" si="147"/>
        <v>-0.3579373297867337</v>
      </c>
      <c r="W198" s="1">
        <f t="shared" si="147"/>
        <v>-0.7652051584199597</v>
      </c>
      <c r="X198" s="1">
        <f t="shared" si="147"/>
        <v>-1.2742376651237342</v>
      </c>
      <c r="Y198" s="1">
        <f t="shared" si="147"/>
        <v>-1.9341761522876597</v>
      </c>
      <c r="Z198" s="1">
        <f t="shared" si="147"/>
        <v>-2.7403247528933394</v>
      </c>
    </row>
    <row r="199" ht="15.75" thickBot="1">
      <c r="A199" s="71"/>
    </row>
    <row r="200" spans="1:26" ht="16.5" thickBot="1">
      <c r="A200" s="69" t="s">
        <v>134</v>
      </c>
      <c r="B200" s="1">
        <f aca="true" t="shared" si="148" ref="B200:Z200">($K$7*(B185^2+B186^2)/2)+$M$7*(B76^2/2)</f>
        <v>0.30530960157048503</v>
      </c>
      <c r="C200" s="1">
        <f t="shared" si="148"/>
        <v>0.2895993535350382</v>
      </c>
      <c r="D200" s="1">
        <f t="shared" si="148"/>
        <v>0.17088045446356293</v>
      </c>
      <c r="E200" s="1">
        <f t="shared" si="148"/>
        <v>0.05605670977893579</v>
      </c>
      <c r="F200" s="1">
        <f t="shared" si="148"/>
        <v>0.004592456590987424</v>
      </c>
      <c r="G200" s="1">
        <f t="shared" si="148"/>
        <v>0.004618733860387435</v>
      </c>
      <c r="H200" s="1">
        <f t="shared" si="148"/>
        <v>0.027919767218617948</v>
      </c>
      <c r="I200" s="1">
        <f t="shared" si="148"/>
        <v>0.05479450602228445</v>
      </c>
      <c r="J200" s="1">
        <f t="shared" si="148"/>
        <v>0.07557569137013631</v>
      </c>
      <c r="K200" s="1">
        <f t="shared" si="148"/>
        <v>0.08704628963772168</v>
      </c>
      <c r="L200" s="1">
        <f t="shared" si="148"/>
        <v>0.08934866830334323</v>
      </c>
      <c r="M200" s="1">
        <f t="shared" si="148"/>
        <v>0.08418613000985936</v>
      </c>
      <c r="N200" s="1">
        <f t="shared" si="148"/>
        <v>0.07387643384446954</v>
      </c>
      <c r="O200" s="1">
        <f t="shared" si="148"/>
        <v>0.06074490685341811</v>
      </c>
      <c r="P200" s="1">
        <f t="shared" si="148"/>
        <v>0.04670721182939802</v>
      </c>
      <c r="Q200" s="1">
        <f t="shared" si="148"/>
        <v>0.033104581663704405</v>
      </c>
      <c r="R200" s="1">
        <f t="shared" si="148"/>
        <v>0.020790824506670018</v>
      </c>
      <c r="S200" s="1">
        <f t="shared" si="148"/>
        <v>0.01039994979715784</v>
      </c>
      <c r="T200" s="1">
        <f t="shared" si="148"/>
        <v>0.002813466408921212</v>
      </c>
      <c r="U200" s="1">
        <f t="shared" si="148"/>
        <v>4.519500219657418E-05</v>
      </c>
      <c r="V200" s="1">
        <f t="shared" si="148"/>
        <v>0.006977780387039477</v>
      </c>
      <c r="W200" s="1">
        <f t="shared" si="148"/>
        <v>0.03416627341171107</v>
      </c>
      <c r="X200" s="1">
        <f t="shared" si="148"/>
        <v>0.09851673632190204</v>
      </c>
      <c r="Y200" s="1">
        <f t="shared" si="148"/>
        <v>0.20604796646805357</v>
      </c>
      <c r="Z200" s="1">
        <f t="shared" si="148"/>
        <v>0.3031829214343683</v>
      </c>
    </row>
    <row r="201" spans="1:26" ht="15">
      <c r="A201" s="5" t="s">
        <v>135</v>
      </c>
      <c r="B201" s="1">
        <f>(B184-$J$7)*$L$7</f>
        <v>0</v>
      </c>
      <c r="C201" s="1">
        <f aca="true" t="shared" si="149" ref="C201:Z201">(C184-$J$7)*$L$7</f>
        <v>-0.782910637599107</v>
      </c>
      <c r="D201" s="1">
        <f t="shared" si="149"/>
        <v>-1.460280215525766</v>
      </c>
      <c r="E201" s="1">
        <f t="shared" si="149"/>
        <v>-1.9121557796208875</v>
      </c>
      <c r="F201" s="1">
        <f t="shared" si="149"/>
        <v>-2.118011641419411</v>
      </c>
      <c r="G201" s="1">
        <f t="shared" si="149"/>
        <v>-2.1135924082052497</v>
      </c>
      <c r="H201" s="1">
        <f t="shared" si="149"/>
        <v>-1.9478500554550997</v>
      </c>
      <c r="I201" s="1">
        <f t="shared" si="149"/>
        <v>-1.66595072820655</v>
      </c>
      <c r="J201" s="1">
        <f t="shared" si="149"/>
        <v>-1.306364854573821</v>
      </c>
      <c r="K201" s="1">
        <f t="shared" si="149"/>
        <v>-0.9016292844398406</v>
      </c>
      <c r="L201" s="1">
        <f t="shared" si="149"/>
        <v>-0.47910346566426615</v>
      </c>
      <c r="M201" s="1">
        <f t="shared" si="149"/>
        <v>-0.06117287009897302</v>
      </c>
      <c r="N201" s="1">
        <f t="shared" si="149"/>
        <v>0.3347646804969539</v>
      </c>
      <c r="O201" s="1">
        <f t="shared" si="149"/>
        <v>0.6961228590189914</v>
      </c>
      <c r="P201" s="1">
        <f t="shared" si="149"/>
        <v>1.0145224239612496</v>
      </c>
      <c r="Q201" s="1">
        <f t="shared" si="149"/>
        <v>1.284722706448547</v>
      </c>
      <c r="R201" s="1">
        <f t="shared" si="149"/>
        <v>1.5031847799765687</v>
      </c>
      <c r="S201" s="1">
        <f t="shared" si="149"/>
        <v>1.6663687740180961</v>
      </c>
      <c r="T201" s="1">
        <f t="shared" si="149"/>
        <v>1.7687544010967169</v>
      </c>
      <c r="U201" s="1">
        <f t="shared" si="149"/>
        <v>1.8004000642933515</v>
      </c>
      <c r="V201" s="1">
        <f t="shared" si="149"/>
        <v>1.7437764718342963</v>
      </c>
      <c r="W201" s="1">
        <f t="shared" si="149"/>
        <v>1.5701710639659414</v>
      </c>
      <c r="X201" s="1">
        <f t="shared" si="149"/>
        <v>1.238985059581325</v>
      </c>
      <c r="Y201" s="1">
        <f t="shared" si="149"/>
        <v>0.7119155644920596</v>
      </c>
      <c r="Z201" s="1">
        <f t="shared" si="149"/>
        <v>0</v>
      </c>
    </row>
    <row r="203" ht="16.5" thickBot="1">
      <c r="A203" s="72" t="s">
        <v>137</v>
      </c>
    </row>
    <row r="204" spans="1:26" ht="15.75">
      <c r="A204" s="54" t="s">
        <v>121</v>
      </c>
      <c r="B204" s="1">
        <f>B87+($I$7-$F$6)*COS(B72)-($J$7-$G$6)*SIN(B72)</f>
        <v>5</v>
      </c>
      <c r="C204" s="1">
        <f aca="true" t="shared" si="150" ref="C204:Z204">C87+($I$7-$F$6)*COS(C72)-($J$7-$G$6)*SIN(C72)</f>
        <v>5.008890425442688</v>
      </c>
      <c r="D204" s="1">
        <f t="shared" si="150"/>
        <v>4.988032415158669</v>
      </c>
      <c r="E204" s="1">
        <f t="shared" si="150"/>
        <v>4.9590157753375435</v>
      </c>
      <c r="F204" s="1">
        <f t="shared" si="150"/>
        <v>4.941632052674344</v>
      </c>
      <c r="G204" s="1">
        <f t="shared" si="150"/>
        <v>4.942033335967616</v>
      </c>
      <c r="H204" s="1">
        <f t="shared" si="150"/>
        <v>4.9561918546492105</v>
      </c>
      <c r="I204" s="1">
        <f t="shared" si="150"/>
        <v>4.976358035322539</v>
      </c>
      <c r="J204" s="1">
        <f t="shared" si="150"/>
        <v>4.995123613709114</v>
      </c>
      <c r="K204" s="1">
        <f t="shared" si="150"/>
        <v>5.007158861963637</v>
      </c>
      <c r="L204" s="1">
        <f t="shared" si="150"/>
        <v>5.009630745152294</v>
      </c>
      <c r="M204" s="1">
        <f t="shared" si="150"/>
        <v>5.001969605730546</v>
      </c>
      <c r="N204" s="1">
        <f t="shared" si="150"/>
        <v>4.985336563947209</v>
      </c>
      <c r="O204" s="1">
        <f t="shared" si="150"/>
        <v>4.961998238722898</v>
      </c>
      <c r="P204" s="1">
        <f t="shared" si="150"/>
        <v>4.93475473325552</v>
      </c>
      <c r="Q204" s="1">
        <f t="shared" si="150"/>
        <v>4.906521205398268</v>
      </c>
      <c r="R204" s="1">
        <f t="shared" si="150"/>
        <v>4.880109432921349</v>
      </c>
      <c r="S204" s="1">
        <f t="shared" si="150"/>
        <v>4.858202249506618</v>
      </c>
      <c r="T204" s="1">
        <f t="shared" si="150"/>
        <v>4.843473024994783</v>
      </c>
      <c r="U204" s="1">
        <f t="shared" si="150"/>
        <v>4.838763445073835</v>
      </c>
      <c r="V204" s="1">
        <f t="shared" si="150"/>
        <v>4.84713761673402</v>
      </c>
      <c r="W204" s="1">
        <f t="shared" si="150"/>
        <v>4.8713464645687985</v>
      </c>
      <c r="X204" s="1">
        <f t="shared" si="150"/>
        <v>4.9116397597739745</v>
      </c>
      <c r="Y204" s="1">
        <f t="shared" si="150"/>
        <v>4.960796580338934</v>
      </c>
      <c r="Z204" s="1">
        <f t="shared" si="150"/>
        <v>5</v>
      </c>
    </row>
    <row r="205" spans="1:26" ht="15.75">
      <c r="A205" s="49" t="s">
        <v>122</v>
      </c>
      <c r="B205" s="1">
        <f>B97+($I$7-$F$6)*SIN(B70-$B$70)+($J$7-$G$6)*COS(B70-$B$70)</f>
        <v>0.20000000000000018</v>
      </c>
      <c r="C205" s="1">
        <f aca="true" t="shared" si="151" ref="C205:Z205">C97+($I$7-$F$6)*SIN(C70-$B$70)+($J$7-$G$6)*COS(C70-$B$70)</f>
        <v>-0.06602468148117824</v>
      </c>
      <c r="D205" s="1">
        <f t="shared" si="151"/>
        <v>-0.2961876369438552</v>
      </c>
      <c r="E205" s="1">
        <f t="shared" si="151"/>
        <v>-0.4497301323890208</v>
      </c>
      <c r="F205" s="1">
        <f t="shared" si="151"/>
        <v>-0.5196777578727185</v>
      </c>
      <c r="G205" s="1">
        <f t="shared" si="151"/>
        <v>-0.5181761495770472</v>
      </c>
      <c r="H205" s="1">
        <f t="shared" si="151"/>
        <v>-0.46185866648151563</v>
      </c>
      <c r="I205" s="1">
        <f t="shared" si="151"/>
        <v>-0.366072282774907</v>
      </c>
      <c r="J205" s="1">
        <f t="shared" si="151"/>
        <v>-0.24388883947462459</v>
      </c>
      <c r="K205" s="1">
        <f t="shared" si="151"/>
        <v>-0.10636401102271176</v>
      </c>
      <c r="L205" s="1">
        <f t="shared" si="151"/>
        <v>0.03720575410660354</v>
      </c>
      <c r="M205" s="1">
        <f t="shared" si="151"/>
        <v>0.1792141114172705</v>
      </c>
      <c r="N205" s="1">
        <f t="shared" si="151"/>
        <v>0.3137494666996101</v>
      </c>
      <c r="O205" s="1">
        <f t="shared" si="151"/>
        <v>0.43653512029187613</v>
      </c>
      <c r="P205" s="1">
        <f t="shared" si="151"/>
        <v>0.5447238953317193</v>
      </c>
      <c r="Q205" s="1">
        <f t="shared" si="151"/>
        <v>0.6365350684500672</v>
      </c>
      <c r="R205" s="1">
        <f t="shared" si="151"/>
        <v>0.7107661501789226</v>
      </c>
      <c r="S205" s="1">
        <f t="shared" si="151"/>
        <v>0.7662143302813784</v>
      </c>
      <c r="T205" s="1">
        <f t="shared" si="151"/>
        <v>0.8010038739710215</v>
      </c>
      <c r="U205" s="1">
        <f t="shared" si="151"/>
        <v>0.8117567326854744</v>
      </c>
      <c r="V205" s="1">
        <f t="shared" si="151"/>
        <v>0.7925166401067947</v>
      </c>
      <c r="W205" s="1">
        <f t="shared" si="151"/>
        <v>0.7335273747760587</v>
      </c>
      <c r="X205" s="1">
        <f t="shared" si="151"/>
        <v>0.6209939040371477</v>
      </c>
      <c r="Y205" s="1">
        <f t="shared" si="151"/>
        <v>0.4419013131131697</v>
      </c>
      <c r="Z205" s="1">
        <f t="shared" si="151"/>
        <v>0.2000000000000024</v>
      </c>
    </row>
    <row r="206" spans="1:26" ht="15.75">
      <c r="A206" s="66" t="s">
        <v>123</v>
      </c>
      <c r="B206" s="1">
        <f aca="true" t="shared" si="152" ref="B206:Z206">B98-B76*(B205-B97)</f>
        <v>0.1006297915345884</v>
      </c>
      <c r="C206" s="1">
        <f t="shared" si="152"/>
        <v>-0.03235425878532472</v>
      </c>
      <c r="D206" s="1">
        <f t="shared" si="152"/>
        <v>-0.1114909120273937</v>
      </c>
      <c r="E206" s="1">
        <f t="shared" si="152"/>
        <v>-0.09695989456353782</v>
      </c>
      <c r="F206" s="1">
        <f t="shared" si="152"/>
        <v>-0.032068821888235705</v>
      </c>
      <c r="G206" s="1">
        <f t="shared" si="152"/>
        <v>0.03206750969677674</v>
      </c>
      <c r="H206" s="1">
        <f t="shared" si="152"/>
        <v>0.07027346045644567</v>
      </c>
      <c r="I206" s="1">
        <f t="shared" si="152"/>
        <v>0.07803001700901491</v>
      </c>
      <c r="J206" s="1">
        <f t="shared" si="152"/>
        <v>0.06105332736092439</v>
      </c>
      <c r="K206" s="1">
        <f t="shared" si="152"/>
        <v>0.02857565437723253</v>
      </c>
      <c r="L206" s="1">
        <f t="shared" si="152"/>
        <v>-0.0101269927614267</v>
      </c>
      <c r="M206" s="1">
        <f t="shared" si="152"/>
        <v>-0.047349873404772036</v>
      </c>
      <c r="N206" s="1">
        <f t="shared" si="152"/>
        <v>-0.07765372688131711</v>
      </c>
      <c r="O206" s="1">
        <f t="shared" si="152"/>
        <v>-0.09797166093405801</v>
      </c>
      <c r="P206" s="1">
        <f t="shared" si="152"/>
        <v>-0.10719998989789653</v>
      </c>
      <c r="Q206" s="1">
        <f t="shared" si="152"/>
        <v>-0.10546120597527192</v>
      </c>
      <c r="R206" s="1">
        <f t="shared" si="152"/>
        <v>-0.09332305321449236</v>
      </c>
      <c r="S206" s="1">
        <f t="shared" si="152"/>
        <v>-0.0711528397554621</v>
      </c>
      <c r="T206" s="1">
        <f t="shared" si="152"/>
        <v>-0.038688494462267214</v>
      </c>
      <c r="U206" s="1">
        <f t="shared" si="152"/>
        <v>0.004969325575362501</v>
      </c>
      <c r="V206" s="1">
        <f t="shared" si="152"/>
        <v>0.06028279555872183</v>
      </c>
      <c r="W206" s="1">
        <f t="shared" si="152"/>
        <v>0.12346432265804341</v>
      </c>
      <c r="X206" s="1">
        <f t="shared" si="152"/>
        <v>0.17748787552792128</v>
      </c>
      <c r="Y206" s="1">
        <f t="shared" si="152"/>
        <v>0.18265678302960853</v>
      </c>
      <c r="Z206" s="1">
        <f t="shared" si="152"/>
        <v>0.10027870307147668</v>
      </c>
    </row>
    <row r="207" spans="1:26" ht="15.75">
      <c r="A207" s="49" t="s">
        <v>124</v>
      </c>
      <c r="B207" s="25">
        <f aca="true" t="shared" si="153" ref="B207:Z207">B99+B76*(B204-B96)</f>
        <v>-1.006297915345883</v>
      </c>
      <c r="C207" s="25">
        <f t="shared" si="153"/>
        <v>-0.9844221772529482</v>
      </c>
      <c r="D207" s="25">
        <f t="shared" si="153"/>
        <v>-0.7483349048362787</v>
      </c>
      <c r="E207" s="25">
        <f t="shared" si="153"/>
        <v>-0.4223554290570202</v>
      </c>
      <c r="F207" s="25">
        <f t="shared" si="153"/>
        <v>-0.11981627369350184</v>
      </c>
      <c r="G207" s="25">
        <f t="shared" si="153"/>
        <v>0.12018340265841464</v>
      </c>
      <c r="H207" s="25">
        <f t="shared" si="153"/>
        <v>0.2976416400068007</v>
      </c>
      <c r="I207" s="25">
        <f t="shared" si="153"/>
        <v>0.42126994686168556</v>
      </c>
      <c r="J207" s="25">
        <f t="shared" si="153"/>
        <v>0.49944448206686654</v>
      </c>
      <c r="K207" s="25">
        <f t="shared" si="153"/>
        <v>0.5392413972375024</v>
      </c>
      <c r="L207" s="25">
        <f t="shared" si="153"/>
        <v>0.5469991537057862</v>
      </c>
      <c r="M207" s="25">
        <f t="shared" si="153"/>
        <v>0.5289371838070999</v>
      </c>
      <c r="N207" s="25">
        <f t="shared" si="153"/>
        <v>0.4913754433624372</v>
      </c>
      <c r="O207" s="25">
        <f t="shared" si="153"/>
        <v>0.4403316417447841</v>
      </c>
      <c r="P207" s="25">
        <f t="shared" si="153"/>
        <v>0.3807537903832837</v>
      </c>
      <c r="Q207" s="25">
        <f t="shared" si="153"/>
        <v>0.31587266044636286</v>
      </c>
      <c r="R207" s="25">
        <f t="shared" si="153"/>
        <v>0.2468569340470418</v>
      </c>
      <c r="S207" s="25">
        <f t="shared" si="153"/>
        <v>0.1725579406010712</v>
      </c>
      <c r="T207" s="25">
        <f t="shared" si="153"/>
        <v>0.08903976402170291</v>
      </c>
      <c r="U207" s="25">
        <f t="shared" si="153"/>
        <v>-0.011256345462535847</v>
      </c>
      <c r="V207" s="25">
        <f t="shared" si="153"/>
        <v>-0.1405025632059873</v>
      </c>
      <c r="W207" s="25">
        <f t="shared" si="153"/>
        <v>-0.31497737051333263</v>
      </c>
      <c r="X207" s="25">
        <f t="shared" si="153"/>
        <v>-0.5463707091667233</v>
      </c>
      <c r="Y207" s="25">
        <f t="shared" si="153"/>
        <v>-0.8104814014174357</v>
      </c>
      <c r="Z207" s="25">
        <f t="shared" si="153"/>
        <v>-1.0027870307147535</v>
      </c>
    </row>
    <row r="208" spans="1:26" ht="15.75">
      <c r="A208" s="49" t="s">
        <v>125</v>
      </c>
      <c r="B208" s="1">
        <f aca="true" t="shared" si="154" ref="B208:Z208">B100-B82*(B205-B97)-B76*(B207-B99)</f>
        <v>-0.47290554355741676</v>
      </c>
      <c r="C208" s="1">
        <f t="shared" si="154"/>
        <v>-0.46493254426513175</v>
      </c>
      <c r="D208" s="1">
        <f t="shared" si="154"/>
        <v>-0.1127964882194058</v>
      </c>
      <c r="E208" s="1">
        <f t="shared" si="154"/>
        <v>0.18999663244084491</v>
      </c>
      <c r="F208" s="1">
        <f t="shared" si="154"/>
        <v>0.2699200349400911</v>
      </c>
      <c r="G208" s="1">
        <f t="shared" si="154"/>
        <v>0.2022631099414135</v>
      </c>
      <c r="H208" s="1">
        <f t="shared" si="154"/>
        <v>0.08577407852619719</v>
      </c>
      <c r="I208" s="1">
        <f t="shared" si="154"/>
        <v>-0.022798300341638156</v>
      </c>
      <c r="J208" s="1">
        <f t="shared" si="154"/>
        <v>-0.0999994290330794</v>
      </c>
      <c r="K208" s="1">
        <f t="shared" si="154"/>
        <v>-0.14070129971291798</v>
      </c>
      <c r="L208" s="1">
        <f t="shared" si="154"/>
        <v>-0.1484954021125425</v>
      </c>
      <c r="M208" s="1">
        <f t="shared" si="154"/>
        <v>-0.1310105562858482</v>
      </c>
      <c r="N208" s="1">
        <f t="shared" si="154"/>
        <v>-0.09743675950392344</v>
      </c>
      <c r="O208" s="1">
        <f t="shared" si="154"/>
        <v>-0.05633467201247927</v>
      </c>
      <c r="P208" s="1">
        <f t="shared" si="154"/>
        <v>-0.013886623499825446</v>
      </c>
      <c r="Q208" s="1">
        <f t="shared" si="154"/>
        <v>0.02674212589483227</v>
      </c>
      <c r="R208" s="1">
        <f t="shared" si="154"/>
        <v>0.06515359071063284</v>
      </c>
      <c r="S208" s="1">
        <f t="shared" si="154"/>
        <v>0.10310913374927312</v>
      </c>
      <c r="T208" s="1">
        <f t="shared" si="154"/>
        <v>0.14346095119813942</v>
      </c>
      <c r="U208" s="1">
        <f t="shared" si="154"/>
        <v>0.1876495892138214</v>
      </c>
      <c r="V208" s="1">
        <f t="shared" si="154"/>
        <v>0.22931846240337217</v>
      </c>
      <c r="W208" s="1">
        <f t="shared" si="154"/>
        <v>0.23927874469610436</v>
      </c>
      <c r="X208" s="1">
        <f t="shared" si="154"/>
        <v>0.1444657657912528</v>
      </c>
      <c r="Y208" s="1">
        <f t="shared" si="154"/>
        <v>-0.13507489490935498</v>
      </c>
      <c r="Z208" s="1">
        <f t="shared" si="154"/>
        <v>-0.46791672046539023</v>
      </c>
    </row>
    <row r="209" spans="1:26" ht="16.5" thickBot="1">
      <c r="A209" s="67" t="s">
        <v>126</v>
      </c>
      <c r="B209" s="1">
        <f aca="true" t="shared" si="155" ref="B209:Z209">B101+B82*(B204-B96)+B76*(B206-B98)</f>
        <v>-0.38475381129465636</v>
      </c>
      <c r="C209" s="1">
        <f t="shared" si="155"/>
        <v>0.5472996410948546</v>
      </c>
      <c r="D209" s="1">
        <f t="shared" si="155"/>
        <v>1.1755800544463093</v>
      </c>
      <c r="E209" s="1">
        <f t="shared" si="155"/>
        <v>1.2451728036224567</v>
      </c>
      <c r="F209" s="1">
        <f t="shared" si="155"/>
        <v>1.0380851058279918</v>
      </c>
      <c r="G209" s="1">
        <f t="shared" si="155"/>
        <v>0.787905961956494</v>
      </c>
      <c r="H209" s="1">
        <f t="shared" si="155"/>
        <v>0.5657996218934396</v>
      </c>
      <c r="I209" s="1">
        <f t="shared" si="155"/>
        <v>0.37833907162138997</v>
      </c>
      <c r="J209" s="1">
        <f t="shared" si="155"/>
        <v>0.22002268469172132</v>
      </c>
      <c r="K209" s="1">
        <f t="shared" si="155"/>
        <v>0.08638252563824422</v>
      </c>
      <c r="L209" s="1">
        <f t="shared" si="155"/>
        <v>-0.023913089775543517</v>
      </c>
      <c r="M209" s="1">
        <f t="shared" si="155"/>
        <v>-0.11013308636817867</v>
      </c>
      <c r="N209" s="1">
        <f t="shared" si="155"/>
        <v>-0.17222393042106512</v>
      </c>
      <c r="O209" s="1">
        <f t="shared" si="155"/>
        <v>-0.2129539399674468</v>
      </c>
      <c r="P209" s="1">
        <f t="shared" si="155"/>
        <v>-0.23791516636368765</v>
      </c>
      <c r="Q209" s="1">
        <f t="shared" si="155"/>
        <v>-0.2543175414880517</v>
      </c>
      <c r="R209" s="1">
        <f t="shared" si="155"/>
        <v>-0.2703328212574127</v>
      </c>
      <c r="S209" s="1">
        <f t="shared" si="155"/>
        <v>-0.29552644057723715</v>
      </c>
      <c r="T209" s="1">
        <f t="shared" si="155"/>
        <v>-0.34193501648978175</v>
      </c>
      <c r="U209" s="1">
        <f t="shared" si="155"/>
        <v>-0.4252439071214849</v>
      </c>
      <c r="V209" s="1">
        <f t="shared" si="155"/>
        <v>-0.563972693071117</v>
      </c>
      <c r="W209" s="1">
        <f t="shared" si="155"/>
        <v>-0.7664712118072788</v>
      </c>
      <c r="X209" s="1">
        <f t="shared" si="155"/>
        <v>-0.9761599842874704</v>
      </c>
      <c r="Y209" s="1">
        <f t="shared" si="155"/>
        <v>-0.9626339587125217</v>
      </c>
      <c r="Z209" s="1">
        <f t="shared" si="155"/>
        <v>-0.39902103164314173</v>
      </c>
    </row>
    <row r="210" spans="1:26" ht="15">
      <c r="A210" s="5" t="s">
        <v>127</v>
      </c>
      <c r="B210" s="1">
        <f aca="true" t="shared" si="156" ref="B210:Z210">(B204-B96)^2+(B205-B97)^2</f>
        <v>29.766377515236428</v>
      </c>
      <c r="C210" s="1">
        <f t="shared" si="156"/>
        <v>29.76637751523642</v>
      </c>
      <c r="D210" s="1">
        <f t="shared" si="156"/>
        <v>29.766377515236417</v>
      </c>
      <c r="E210" s="1">
        <f t="shared" si="156"/>
        <v>29.76637751523643</v>
      </c>
      <c r="F210" s="1">
        <f t="shared" si="156"/>
        <v>29.766377515236435</v>
      </c>
      <c r="G210" s="1">
        <f t="shared" si="156"/>
        <v>29.766377515236428</v>
      </c>
      <c r="H210" s="1">
        <f t="shared" si="156"/>
        <v>29.766377515236435</v>
      </c>
      <c r="I210" s="1">
        <f t="shared" si="156"/>
        <v>29.76637751523642</v>
      </c>
      <c r="J210" s="1">
        <f t="shared" si="156"/>
        <v>29.766377515236414</v>
      </c>
      <c r="K210" s="1">
        <f t="shared" si="156"/>
        <v>29.766377515236428</v>
      </c>
      <c r="L210" s="1">
        <f t="shared" si="156"/>
        <v>29.766377515236442</v>
      </c>
      <c r="M210" s="1">
        <f t="shared" si="156"/>
        <v>29.766377515236425</v>
      </c>
      <c r="N210" s="1">
        <f t="shared" si="156"/>
        <v>29.766377515236435</v>
      </c>
      <c r="O210" s="1">
        <f t="shared" si="156"/>
        <v>29.766377515236414</v>
      </c>
      <c r="P210" s="1">
        <f t="shared" si="156"/>
        <v>29.766377515236428</v>
      </c>
      <c r="Q210" s="1">
        <f t="shared" si="156"/>
        <v>29.766377515236414</v>
      </c>
      <c r="R210" s="1">
        <f t="shared" si="156"/>
        <v>29.766377515236425</v>
      </c>
      <c r="S210" s="1">
        <f t="shared" si="156"/>
        <v>29.766377515236417</v>
      </c>
      <c r="T210" s="1">
        <f t="shared" si="156"/>
        <v>29.766377515236428</v>
      </c>
      <c r="U210" s="1">
        <f t="shared" si="156"/>
        <v>29.766377515236407</v>
      </c>
      <c r="V210" s="1">
        <f t="shared" si="156"/>
        <v>29.766377515236428</v>
      </c>
      <c r="W210" s="1">
        <f t="shared" si="156"/>
        <v>29.766377515236417</v>
      </c>
      <c r="X210" s="1">
        <f t="shared" si="156"/>
        <v>29.766377515236425</v>
      </c>
      <c r="Y210" s="1">
        <f t="shared" si="156"/>
        <v>29.766377515236428</v>
      </c>
      <c r="Z210" s="1">
        <f t="shared" si="156"/>
        <v>29.766377515236414</v>
      </c>
    </row>
    <row r="211" spans="1:26" ht="15">
      <c r="A211" s="5" t="s">
        <v>136</v>
      </c>
      <c r="B211" s="1">
        <f aca="true" t="shared" si="157" ref="B211:Z211">(B204-B105)^2+(B205-B106)^2</f>
        <v>3.1768112423817843</v>
      </c>
      <c r="C211" s="1">
        <f t="shared" si="157"/>
        <v>3.1768112423817807</v>
      </c>
      <c r="D211" s="1">
        <f t="shared" si="157"/>
        <v>3.1768112423817803</v>
      </c>
      <c r="E211" s="1">
        <f t="shared" si="157"/>
        <v>3.1768112423817847</v>
      </c>
      <c r="F211" s="1">
        <f t="shared" si="157"/>
        <v>3.1768112423817856</v>
      </c>
      <c r="G211" s="1">
        <f t="shared" si="157"/>
        <v>3.1768112423817843</v>
      </c>
      <c r="H211" s="1">
        <f t="shared" si="157"/>
        <v>3.176811242381784</v>
      </c>
      <c r="I211" s="1">
        <f t="shared" si="157"/>
        <v>3.176811242381781</v>
      </c>
      <c r="J211" s="1">
        <f t="shared" si="157"/>
        <v>3.176811242381781</v>
      </c>
      <c r="K211" s="1">
        <f t="shared" si="157"/>
        <v>3.1768112423817847</v>
      </c>
      <c r="L211" s="1">
        <f t="shared" si="157"/>
        <v>3.176811242381786</v>
      </c>
      <c r="M211" s="1">
        <f t="shared" si="157"/>
        <v>3.176811242381784</v>
      </c>
      <c r="N211" s="1">
        <f t="shared" si="157"/>
        <v>3.1768112423817825</v>
      </c>
      <c r="O211" s="1">
        <f t="shared" si="157"/>
        <v>3.176811242381782</v>
      </c>
      <c r="P211" s="1">
        <f t="shared" si="157"/>
        <v>3.176811242381784</v>
      </c>
      <c r="Q211" s="1">
        <f t="shared" si="157"/>
        <v>3.176811242381784</v>
      </c>
      <c r="R211" s="1">
        <f t="shared" si="157"/>
        <v>3.176811242381785</v>
      </c>
      <c r="S211" s="1">
        <f t="shared" si="157"/>
        <v>3.176811242381784</v>
      </c>
      <c r="T211" s="1">
        <f t="shared" si="157"/>
        <v>3.176811242381783</v>
      </c>
      <c r="U211" s="1">
        <f t="shared" si="157"/>
        <v>3.1768112423817834</v>
      </c>
      <c r="V211" s="1">
        <f t="shared" si="157"/>
        <v>3.1768112423817843</v>
      </c>
      <c r="W211" s="1">
        <f t="shared" si="157"/>
        <v>3.176811242381782</v>
      </c>
      <c r="X211" s="1">
        <f t="shared" si="157"/>
        <v>3.1768112423817843</v>
      </c>
      <c r="Y211" s="1">
        <f t="shared" si="157"/>
        <v>3.1768112423817816</v>
      </c>
      <c r="Z211" s="1">
        <f t="shared" si="157"/>
        <v>3.176811242381792</v>
      </c>
    </row>
    <row r="212" ht="15">
      <c r="A212" s="5"/>
    </row>
    <row r="213" ht="15.75" thickBot="1"/>
    <row r="214" spans="1:26" ht="15.75">
      <c r="A214" s="68" t="s">
        <v>128</v>
      </c>
      <c r="B214" s="1">
        <f>$K$7*B208</f>
        <v>-0.141871663067225</v>
      </c>
      <c r="C214" s="1">
        <f>$K$7*C208</f>
        <v>-0.1394797632795395</v>
      </c>
      <c r="D214" s="1">
        <f>$K$7*D208</f>
        <v>-0.03383894646582174</v>
      </c>
      <c r="E214" s="1">
        <f>$K$7*E208</f>
        <v>0.05699898973225347</v>
      </c>
      <c r="F214" s="1">
        <f aca="true" t="shared" si="158" ref="F214:Z214">$K$7*F208</f>
        <v>0.08097601048202732</v>
      </c>
      <c r="G214" s="1">
        <f t="shared" si="158"/>
        <v>0.06067893298242405</v>
      </c>
      <c r="H214" s="1">
        <f t="shared" si="158"/>
        <v>0.025732223557859157</v>
      </c>
      <c r="I214" s="1">
        <f t="shared" si="158"/>
        <v>-0.006839490102491447</v>
      </c>
      <c r="J214" s="1">
        <f t="shared" si="158"/>
        <v>-0.02999982870992382</v>
      </c>
      <c r="K214" s="1">
        <f t="shared" si="158"/>
        <v>-0.04221038991387539</v>
      </c>
      <c r="L214" s="1">
        <f t="shared" si="158"/>
        <v>-0.04454862063376275</v>
      </c>
      <c r="M214" s="1">
        <f t="shared" si="158"/>
        <v>-0.03930316688575446</v>
      </c>
      <c r="N214" s="1">
        <f t="shared" si="158"/>
        <v>-0.02923102785117703</v>
      </c>
      <c r="O214" s="1">
        <f t="shared" si="158"/>
        <v>-0.01690040160374378</v>
      </c>
      <c r="P214" s="1">
        <f t="shared" si="158"/>
        <v>-0.004165987049947633</v>
      </c>
      <c r="Q214" s="1">
        <f t="shared" si="158"/>
        <v>0.00802263776844968</v>
      </c>
      <c r="R214" s="1">
        <f t="shared" si="158"/>
        <v>0.019546077213189853</v>
      </c>
      <c r="S214" s="1">
        <f t="shared" si="158"/>
        <v>0.030932740124781935</v>
      </c>
      <c r="T214" s="1">
        <f t="shared" si="158"/>
        <v>0.043038285359441826</v>
      </c>
      <c r="U214" s="1">
        <f t="shared" si="158"/>
        <v>0.05629487676414642</v>
      </c>
      <c r="V214" s="1">
        <f t="shared" si="158"/>
        <v>0.06879553872101164</v>
      </c>
      <c r="W214" s="1">
        <f t="shared" si="158"/>
        <v>0.0717836234088313</v>
      </c>
      <c r="X214" s="1">
        <f t="shared" si="158"/>
        <v>0.04333972973737584</v>
      </c>
      <c r="Y214" s="1">
        <f t="shared" si="158"/>
        <v>-0.040522468472806494</v>
      </c>
      <c r="Z214" s="1">
        <f t="shared" si="158"/>
        <v>-0.14037501613961706</v>
      </c>
    </row>
    <row r="215" spans="1:26" ht="15.75">
      <c r="A215" s="66" t="s">
        <v>129</v>
      </c>
      <c r="B215" s="1">
        <f>$K$7*B209</f>
        <v>-0.1154261433883969</v>
      </c>
      <c r="C215" s="1">
        <f aca="true" t="shared" si="159" ref="C215:Z215">$K$7*C209</f>
        <v>0.16418989232845638</v>
      </c>
      <c r="D215" s="1">
        <f t="shared" si="159"/>
        <v>0.3526740163338928</v>
      </c>
      <c r="E215" s="1">
        <f t="shared" si="159"/>
        <v>0.373551841086737</v>
      </c>
      <c r="F215" s="1">
        <f t="shared" si="159"/>
        <v>0.31142553174839754</v>
      </c>
      <c r="G215" s="1">
        <f t="shared" si="159"/>
        <v>0.23637178858694818</v>
      </c>
      <c r="H215" s="1">
        <f t="shared" si="159"/>
        <v>0.16973988656803188</v>
      </c>
      <c r="I215" s="1">
        <f t="shared" si="159"/>
        <v>0.11350172148641699</v>
      </c>
      <c r="J215" s="1">
        <f t="shared" si="159"/>
        <v>0.0660068054075164</v>
      </c>
      <c r="K215" s="1">
        <f t="shared" si="159"/>
        <v>0.025914757691473268</v>
      </c>
      <c r="L215" s="1">
        <f t="shared" si="159"/>
        <v>-0.007173926932663055</v>
      </c>
      <c r="M215" s="1">
        <f t="shared" si="159"/>
        <v>-0.0330399259104536</v>
      </c>
      <c r="N215" s="1">
        <f t="shared" si="159"/>
        <v>-0.05166717912631954</v>
      </c>
      <c r="O215" s="1">
        <f t="shared" si="159"/>
        <v>-0.06388618199023403</v>
      </c>
      <c r="P215" s="1">
        <f t="shared" si="159"/>
        <v>-0.07137454990910629</v>
      </c>
      <c r="Q215" s="1">
        <f t="shared" si="159"/>
        <v>-0.0762952624464155</v>
      </c>
      <c r="R215" s="1">
        <f t="shared" si="159"/>
        <v>-0.08109984637722381</v>
      </c>
      <c r="S215" s="1">
        <f t="shared" si="159"/>
        <v>-0.08865793217317114</v>
      </c>
      <c r="T215" s="1">
        <f t="shared" si="159"/>
        <v>-0.10258050494693452</v>
      </c>
      <c r="U215" s="1">
        <f t="shared" si="159"/>
        <v>-0.12757317213644548</v>
      </c>
      <c r="V215" s="1">
        <f t="shared" si="159"/>
        <v>-0.1691918079213351</v>
      </c>
      <c r="W215" s="1">
        <f t="shared" si="159"/>
        <v>-0.22994136354218364</v>
      </c>
      <c r="X215" s="1">
        <f t="shared" si="159"/>
        <v>-0.2928479952862411</v>
      </c>
      <c r="Y215" s="1">
        <f t="shared" si="159"/>
        <v>-0.28879018761375647</v>
      </c>
      <c r="Z215" s="1">
        <f t="shared" si="159"/>
        <v>-0.11970630949294252</v>
      </c>
    </row>
    <row r="216" spans="1:26" ht="16.5" thickBot="1">
      <c r="A216" s="67" t="s">
        <v>130</v>
      </c>
      <c r="B216" s="1">
        <f>$M$7*B82</f>
        <v>-0.2004732219439098</v>
      </c>
      <c r="C216" s="1">
        <f aca="true" t="shared" si="160" ref="C216:Z216">$M$7*C82</f>
        <v>0.3174558373361391</v>
      </c>
      <c r="D216" s="1">
        <f t="shared" si="160"/>
        <v>0.6842620780847488</v>
      </c>
      <c r="E216" s="1">
        <f t="shared" si="160"/>
        <v>0.7499288245481458</v>
      </c>
      <c r="F216" s="1">
        <f t="shared" si="160"/>
        <v>0.6403517089431856</v>
      </c>
      <c r="G216" s="1">
        <f t="shared" si="160"/>
        <v>0.4856279890806129</v>
      </c>
      <c r="H216" s="1">
        <f t="shared" si="160"/>
        <v>0.3405232019519819</v>
      </c>
      <c r="I216" s="1">
        <f t="shared" si="160"/>
        <v>0.21962009062157015</v>
      </c>
      <c r="J216" s="1">
        <f t="shared" si="160"/>
        <v>0.12314367596587901</v>
      </c>
      <c r="K216" s="1">
        <f t="shared" si="160"/>
        <v>0.04705482096832519</v>
      </c>
      <c r="L216" s="1">
        <f t="shared" si="160"/>
        <v>-0.012633147626007523</v>
      </c>
      <c r="M216" s="1">
        <f t="shared" si="160"/>
        <v>-0.05851608447425949</v>
      </c>
      <c r="N216" s="1">
        <f t="shared" si="160"/>
        <v>-0.09248071334267714</v>
      </c>
      <c r="O216" s="1">
        <f t="shared" si="160"/>
        <v>-0.11679896801633514</v>
      </c>
      <c r="P216" s="1">
        <f t="shared" si="160"/>
        <v>-0.13447815403651167</v>
      </c>
      <c r="Q216" s="1">
        <f t="shared" si="160"/>
        <v>-0.14907448119466102</v>
      </c>
      <c r="R216" s="1">
        <f t="shared" si="160"/>
        <v>-0.16472205567743525</v>
      </c>
      <c r="S216" s="1">
        <f t="shared" si="160"/>
        <v>-0.1865796809497719</v>
      </c>
      <c r="T216" s="1">
        <f t="shared" si="160"/>
        <v>-0.22136458124950584</v>
      </c>
      <c r="U216" s="1">
        <f t="shared" si="160"/>
        <v>-0.2774996343817854</v>
      </c>
      <c r="V216" s="1">
        <f t="shared" si="160"/>
        <v>-0.36340808124380986</v>
      </c>
      <c r="W216" s="1">
        <f t="shared" si="160"/>
        <v>-0.4781734757958294</v>
      </c>
      <c r="X216" s="1">
        <f t="shared" si="160"/>
        <v>-0.5809243359691169</v>
      </c>
      <c r="Y216" s="1">
        <f t="shared" si="160"/>
        <v>-0.542922653742349</v>
      </c>
      <c r="Z216" s="1">
        <f t="shared" si="160"/>
        <v>-0.2092451641167932</v>
      </c>
    </row>
    <row r="217" ht="15.75" thickBot="1"/>
    <row r="218" spans="1:26" ht="15.75">
      <c r="A218" s="68" t="s">
        <v>131</v>
      </c>
      <c r="B218" s="1">
        <f aca="true" t="shared" si="161" ref="B218:Z218">B206*B214+B207*B215+B216*B76</f>
        <v>0.20274446425145304</v>
      </c>
      <c r="C218" s="1">
        <f t="shared" si="161"/>
        <v>-0.3126831761724879</v>
      </c>
      <c r="D218" s="1">
        <f t="shared" si="161"/>
        <v>-0.5177153844656854</v>
      </c>
      <c r="E218" s="1">
        <f t="shared" si="161"/>
        <v>-0.32497971380723867</v>
      </c>
      <c r="F218" s="1">
        <f t="shared" si="161"/>
        <v>-0.07942614903861538</v>
      </c>
      <c r="G218" s="1">
        <f t="shared" si="161"/>
        <v>0.060407043677667305</v>
      </c>
      <c r="H218" s="1">
        <f t="shared" si="161"/>
        <v>0.10414178289180906</v>
      </c>
      <c r="I218" s="1">
        <f t="shared" si="161"/>
        <v>0.09409422681883892</v>
      </c>
      <c r="J218" s="1">
        <f t="shared" si="161"/>
        <v>0.061962021987188316</v>
      </c>
      <c r="K218" s="1">
        <f t="shared" si="161"/>
        <v>0.025409824230655048</v>
      </c>
      <c r="L218" s="1">
        <f t="shared" si="161"/>
        <v>-0.006911590780663954</v>
      </c>
      <c r="M218" s="1">
        <f t="shared" si="161"/>
        <v>-0.031075486365866482</v>
      </c>
      <c r="N218" s="1">
        <f t="shared" si="161"/>
        <v>-0.04600727766584668</v>
      </c>
      <c r="O218" s="1">
        <f t="shared" si="161"/>
        <v>-0.05268856182162258</v>
      </c>
      <c r="P218" s="1">
        <f t="shared" si="161"/>
        <v>-0.053194424412573355</v>
      </c>
      <c r="Q218" s="1">
        <f t="shared" si="161"/>
        <v>-0.04964434238708723</v>
      </c>
      <c r="R218" s="1">
        <f t="shared" si="161"/>
        <v>-0.04347203926223761</v>
      </c>
      <c r="S218" s="1">
        <f t="shared" si="161"/>
        <v>-0.03482590179707539</v>
      </c>
      <c r="T218" s="1">
        <f t="shared" si="161"/>
        <v>-0.021490741723938424</v>
      </c>
      <c r="U218" s="1">
        <f t="shared" si="161"/>
        <v>0.0034145228604480476</v>
      </c>
      <c r="V218" s="1">
        <f t="shared" si="161"/>
        <v>0.0555617137284869</v>
      </c>
      <c r="W218" s="1">
        <f t="shared" si="161"/>
        <v>0.1617732430007785</v>
      </c>
      <c r="X218" s="1">
        <f t="shared" si="161"/>
        <v>0.33373133195393284</v>
      </c>
      <c r="Y218" s="1">
        <f t="shared" si="161"/>
        <v>0.45107061208385274</v>
      </c>
      <c r="Z218" s="1">
        <f t="shared" si="161"/>
        <v>0.21087747850018093</v>
      </c>
    </row>
    <row r="219" spans="1:26" ht="15.75">
      <c r="A219" s="66" t="s">
        <v>132</v>
      </c>
      <c r="B219" s="1">
        <f>$L$7*B207</f>
        <v>-2.9615347648629338</v>
      </c>
      <c r="C219" s="1">
        <f aca="true" t="shared" si="162" ref="C219:Z219">$L$7*C207</f>
        <v>-2.897154467655427</v>
      </c>
      <c r="D219" s="1">
        <f t="shared" si="162"/>
        <v>-2.202349624933168</v>
      </c>
      <c r="E219" s="1">
        <f t="shared" si="162"/>
        <v>-1.2429920277148105</v>
      </c>
      <c r="F219" s="1">
        <f t="shared" si="162"/>
        <v>-0.35261929347997595</v>
      </c>
      <c r="G219" s="1">
        <f t="shared" si="162"/>
        <v>0.3536997540237143</v>
      </c>
      <c r="H219" s="1">
        <f t="shared" si="162"/>
        <v>0.8759593465400145</v>
      </c>
      <c r="I219" s="1">
        <f t="shared" si="162"/>
        <v>1.2397974536139407</v>
      </c>
      <c r="J219" s="1">
        <f t="shared" si="162"/>
        <v>1.4698651107227882</v>
      </c>
      <c r="K219" s="1">
        <f t="shared" si="162"/>
        <v>1.5869874320699697</v>
      </c>
      <c r="L219" s="1">
        <f t="shared" si="162"/>
        <v>1.6098185093561288</v>
      </c>
      <c r="M219" s="1">
        <f t="shared" si="162"/>
        <v>1.556662131944295</v>
      </c>
      <c r="N219" s="1">
        <f t="shared" si="162"/>
        <v>1.4461179298156528</v>
      </c>
      <c r="O219" s="1">
        <f t="shared" si="162"/>
        <v>1.2958960216548996</v>
      </c>
      <c r="P219" s="1">
        <f t="shared" si="162"/>
        <v>1.120558405098004</v>
      </c>
      <c r="Q219" s="1">
        <f t="shared" si="162"/>
        <v>0.929613239693646</v>
      </c>
      <c r="R219" s="1">
        <f t="shared" si="162"/>
        <v>0.726499956900444</v>
      </c>
      <c r="S219" s="1">
        <f t="shared" si="162"/>
        <v>0.5078380191889525</v>
      </c>
      <c r="T219" s="1">
        <f t="shared" si="162"/>
        <v>0.2620440255158717</v>
      </c>
      <c r="U219" s="1">
        <f t="shared" si="162"/>
        <v>-0.033127424696242996</v>
      </c>
      <c r="V219" s="1">
        <f t="shared" si="162"/>
        <v>-0.41349904351522065</v>
      </c>
      <c r="W219" s="1">
        <f t="shared" si="162"/>
        <v>-0.926978401420738</v>
      </c>
      <c r="X219" s="1">
        <f t="shared" si="162"/>
        <v>-1.6079689970776665</v>
      </c>
      <c r="Y219" s="1">
        <f t="shared" si="162"/>
        <v>-2.3852467643715136</v>
      </c>
      <c r="Z219" s="1">
        <f t="shared" si="162"/>
        <v>-2.95120223139352</v>
      </c>
    </row>
    <row r="220" spans="1:26" ht="16.5" thickBot="1">
      <c r="A220" s="67" t="s">
        <v>133</v>
      </c>
      <c r="B220" s="1">
        <f>SUM(B218:B219)</f>
        <v>-2.758790300611481</v>
      </c>
      <c r="C220" s="1">
        <f aca="true" t="shared" si="163" ref="C220:Z220">SUM(C218:C219)</f>
        <v>-3.209837643827915</v>
      </c>
      <c r="D220" s="1">
        <f t="shared" si="163"/>
        <v>-2.7200650093988537</v>
      </c>
      <c r="E220" s="1">
        <f t="shared" si="163"/>
        <v>-1.567971741522049</v>
      </c>
      <c r="F220" s="1">
        <f t="shared" si="163"/>
        <v>-0.43204544251859134</v>
      </c>
      <c r="G220" s="1">
        <f t="shared" si="163"/>
        <v>0.4141067977013816</v>
      </c>
      <c r="H220" s="1">
        <f t="shared" si="163"/>
        <v>0.9801011294318236</v>
      </c>
      <c r="I220" s="1">
        <f t="shared" si="163"/>
        <v>1.3338916804327796</v>
      </c>
      <c r="J220" s="1">
        <f t="shared" si="163"/>
        <v>1.5318271327099766</v>
      </c>
      <c r="K220" s="1">
        <f t="shared" si="163"/>
        <v>1.6123972563006248</v>
      </c>
      <c r="L220" s="1">
        <f t="shared" si="163"/>
        <v>1.6029069185754647</v>
      </c>
      <c r="M220" s="1">
        <f t="shared" si="163"/>
        <v>1.5255866455784286</v>
      </c>
      <c r="N220" s="1">
        <f t="shared" si="163"/>
        <v>1.4001106521498061</v>
      </c>
      <c r="O220" s="1">
        <f t="shared" si="163"/>
        <v>1.243207459833277</v>
      </c>
      <c r="P220" s="1">
        <f t="shared" si="163"/>
        <v>1.0673639806854307</v>
      </c>
      <c r="Q220" s="1">
        <f t="shared" si="163"/>
        <v>0.8799688973065587</v>
      </c>
      <c r="R220" s="1">
        <f t="shared" si="163"/>
        <v>0.6830279176382064</v>
      </c>
      <c r="S220" s="1">
        <f t="shared" si="163"/>
        <v>0.47301211739187715</v>
      </c>
      <c r="T220" s="1">
        <f t="shared" si="163"/>
        <v>0.24055328379193328</v>
      </c>
      <c r="U220" s="1">
        <f t="shared" si="163"/>
        <v>-0.029712901835794947</v>
      </c>
      <c r="V220" s="1">
        <f t="shared" si="163"/>
        <v>-0.35793732978673376</v>
      </c>
      <c r="W220" s="1">
        <f t="shared" si="163"/>
        <v>-0.7652051584199595</v>
      </c>
      <c r="X220" s="1">
        <f t="shared" si="163"/>
        <v>-1.2742376651237337</v>
      </c>
      <c r="Y220" s="1">
        <f t="shared" si="163"/>
        <v>-1.9341761522876608</v>
      </c>
      <c r="Z220" s="1">
        <f t="shared" si="163"/>
        <v>-2.740324752893339</v>
      </c>
    </row>
    <row r="221" ht="15.75" thickBot="1">
      <c r="A221" s="71"/>
    </row>
    <row r="222" spans="1:26" ht="16.5" thickBot="1">
      <c r="A222" s="69" t="s">
        <v>134</v>
      </c>
      <c r="B222" s="1">
        <f aca="true" t="shared" si="164" ref="B222:Z222">($K$7*(B206^2+B207^2)/2)+$M$7*(B76^2/2)</f>
        <v>0.30530960157048515</v>
      </c>
      <c r="C222" s="1">
        <f t="shared" si="164"/>
        <v>0.2895993535350381</v>
      </c>
      <c r="D222" s="1">
        <f t="shared" si="164"/>
        <v>0.17088045446356276</v>
      </c>
      <c r="E222" s="1">
        <f t="shared" si="164"/>
        <v>0.056056709778935794</v>
      </c>
      <c r="F222" s="1">
        <f t="shared" si="164"/>
        <v>0.004592456590987426</v>
      </c>
      <c r="G222" s="1">
        <f t="shared" si="164"/>
        <v>0.004618733860387435</v>
      </c>
      <c r="H222" s="1">
        <f t="shared" si="164"/>
        <v>0.027919767218617973</v>
      </c>
      <c r="I222" s="1">
        <f t="shared" si="164"/>
        <v>0.054794506022284445</v>
      </c>
      <c r="J222" s="1">
        <f t="shared" si="164"/>
        <v>0.07557569137013626</v>
      </c>
      <c r="K222" s="1">
        <f t="shared" si="164"/>
        <v>0.08704628963772167</v>
      </c>
      <c r="L222" s="1">
        <f t="shared" si="164"/>
        <v>0.08934866830334327</v>
      </c>
      <c r="M222" s="1">
        <f t="shared" si="164"/>
        <v>0.08418613000985938</v>
      </c>
      <c r="N222" s="1">
        <f t="shared" si="164"/>
        <v>0.07387643384446954</v>
      </c>
      <c r="O222" s="1">
        <f t="shared" si="164"/>
        <v>0.06074490685341808</v>
      </c>
      <c r="P222" s="1">
        <f t="shared" si="164"/>
        <v>0.04670721182939803</v>
      </c>
      <c r="Q222" s="1">
        <f t="shared" si="164"/>
        <v>0.03310458166370439</v>
      </c>
      <c r="R222" s="1">
        <f t="shared" si="164"/>
        <v>0.02079082450667002</v>
      </c>
      <c r="S222" s="1">
        <f t="shared" si="164"/>
        <v>0.010399949797157835</v>
      </c>
      <c r="T222" s="1">
        <f t="shared" si="164"/>
        <v>0.0028134664089212117</v>
      </c>
      <c r="U222" s="1">
        <f t="shared" si="164"/>
        <v>4.519500219657412E-05</v>
      </c>
      <c r="V222" s="1">
        <f t="shared" si="164"/>
        <v>0.006977780387039479</v>
      </c>
      <c r="W222" s="1">
        <f t="shared" si="164"/>
        <v>0.034166273411711065</v>
      </c>
      <c r="X222" s="1">
        <f t="shared" si="164"/>
        <v>0.09851673632190203</v>
      </c>
      <c r="Y222" s="1">
        <f t="shared" si="164"/>
        <v>0.20604796646805368</v>
      </c>
      <c r="Z222" s="1">
        <f t="shared" si="164"/>
        <v>0.3031829214343683</v>
      </c>
    </row>
    <row r="223" spans="1:26" ht="15">
      <c r="A223" s="5" t="s">
        <v>135</v>
      </c>
      <c r="B223" s="1">
        <f>(B205-$J$7)*$L$7</f>
        <v>4.901079542207754E-16</v>
      </c>
      <c r="C223" s="1">
        <f aca="true" t="shared" si="165" ref="C223:Z223">(C205-$J$7)*$L$7</f>
        <v>-0.7829106375991076</v>
      </c>
      <c r="D223" s="1">
        <f t="shared" si="165"/>
        <v>-1.460280215525766</v>
      </c>
      <c r="E223" s="1">
        <f t="shared" si="165"/>
        <v>-1.9121557796208881</v>
      </c>
      <c r="F223" s="1">
        <f t="shared" si="165"/>
        <v>-2.1180116414194106</v>
      </c>
      <c r="G223" s="1">
        <f t="shared" si="165"/>
        <v>-2.1135924082052497</v>
      </c>
      <c r="H223" s="1">
        <f t="shared" si="165"/>
        <v>-1.9478500554551004</v>
      </c>
      <c r="I223" s="1">
        <f t="shared" si="165"/>
        <v>-1.665950728206551</v>
      </c>
      <c r="J223" s="1">
        <f t="shared" si="165"/>
        <v>-1.3063648545738202</v>
      </c>
      <c r="K223" s="1">
        <f t="shared" si="165"/>
        <v>-0.9016292844398408</v>
      </c>
      <c r="L223" s="1">
        <f t="shared" si="165"/>
        <v>-0.4791034656642658</v>
      </c>
      <c r="M223" s="1">
        <f t="shared" si="165"/>
        <v>-0.06117287009897294</v>
      </c>
      <c r="N223" s="1">
        <f t="shared" si="165"/>
        <v>0.33476468049695257</v>
      </c>
      <c r="O223" s="1">
        <f t="shared" si="165"/>
        <v>0.6961228590189914</v>
      </c>
      <c r="P223" s="1">
        <f t="shared" si="165"/>
        <v>1.0145224239612498</v>
      </c>
      <c r="Q223" s="1">
        <f t="shared" si="165"/>
        <v>1.2847227064485478</v>
      </c>
      <c r="R223" s="1">
        <f t="shared" si="165"/>
        <v>1.5031847799765694</v>
      </c>
      <c r="S223" s="1">
        <f t="shared" si="165"/>
        <v>1.6663687740180968</v>
      </c>
      <c r="T223" s="1">
        <f t="shared" si="165"/>
        <v>1.7687544010967162</v>
      </c>
      <c r="U223" s="1">
        <f t="shared" si="165"/>
        <v>1.8004000642933515</v>
      </c>
      <c r="V223" s="1">
        <f t="shared" si="165"/>
        <v>1.743776471834297</v>
      </c>
      <c r="W223" s="1">
        <f t="shared" si="165"/>
        <v>1.5701710639659407</v>
      </c>
      <c r="X223" s="1">
        <f t="shared" si="165"/>
        <v>1.2389850595813257</v>
      </c>
      <c r="Y223" s="1">
        <f t="shared" si="165"/>
        <v>0.7119155644920584</v>
      </c>
      <c r="Z223" s="1">
        <f t="shared" si="165"/>
        <v>7.024880677164447E-15</v>
      </c>
    </row>
    <row r="226" ht="16.5" thickBot="1">
      <c r="A226" s="97" t="s">
        <v>300</v>
      </c>
    </row>
    <row r="227" spans="1:26" ht="15.75">
      <c r="A227" s="54" t="s">
        <v>138</v>
      </c>
      <c r="B227" s="1">
        <f aca="true" t="shared" si="166" ref="B227:Z227">B105+($I$8-$F$7)*COS(B118)-($J$8-$G$7)*SIN(B118)</f>
        <v>16</v>
      </c>
      <c r="C227" s="1">
        <f t="shared" si="166"/>
        <v>15.674082228151716</v>
      </c>
      <c r="D227" s="1">
        <f t="shared" si="166"/>
        <v>15.282131607730385</v>
      </c>
      <c r="E227" s="1">
        <f t="shared" si="166"/>
        <v>14.97443089265461</v>
      </c>
      <c r="F227" s="1">
        <f t="shared" si="166"/>
        <v>14.823964207358864</v>
      </c>
      <c r="G227" s="1">
        <f t="shared" si="166"/>
        <v>14.827255329153802</v>
      </c>
      <c r="H227" s="1">
        <f t="shared" si="166"/>
        <v>14.94876865211918</v>
      </c>
      <c r="I227" s="1">
        <f t="shared" si="166"/>
        <v>15.146188218486047</v>
      </c>
      <c r="J227" s="1">
        <f t="shared" si="166"/>
        <v>15.379013280409714</v>
      </c>
      <c r="K227" s="1">
        <f t="shared" si="166"/>
        <v>15.61210953229737</v>
      </c>
      <c r="L227" s="1">
        <f t="shared" si="166"/>
        <v>15.818313409063414</v>
      </c>
      <c r="M227" s="1">
        <f t="shared" si="166"/>
        <v>15.980138361656628</v>
      </c>
      <c r="N227" s="1">
        <f t="shared" si="166"/>
        <v>16.09002045290098</v>
      </c>
      <c r="O227" s="1">
        <f t="shared" si="166"/>
        <v>16.14906272276194</v>
      </c>
      <c r="P227" s="1">
        <f t="shared" si="166"/>
        <v>16.16478885923628</v>
      </c>
      <c r="Q227" s="1">
        <f t="shared" si="166"/>
        <v>16.14865083906387</v>
      </c>
      <c r="R227" s="1">
        <f t="shared" si="166"/>
        <v>16.113926270615814</v>
      </c>
      <c r="S227" s="1">
        <f t="shared" si="166"/>
        <v>16.074310954152576</v>
      </c>
      <c r="T227" s="1">
        <f t="shared" si="166"/>
        <v>16.043105097763277</v>
      </c>
      <c r="U227" s="1">
        <f t="shared" si="166"/>
        <v>16.032429604376016</v>
      </c>
      <c r="V227" s="1">
        <f t="shared" si="166"/>
        <v>16.051184113823286</v>
      </c>
      <c r="W227" s="1">
        <f t="shared" si="166"/>
        <v>16.099130657057973</v>
      </c>
      <c r="X227" s="1">
        <f t="shared" si="166"/>
        <v>16.153402923875788</v>
      </c>
      <c r="Y227" s="1">
        <f t="shared" si="166"/>
        <v>16.15067526824235</v>
      </c>
      <c r="Z227" s="1">
        <f t="shared" si="166"/>
        <v>16</v>
      </c>
    </row>
    <row r="228" spans="1:26" ht="15.75">
      <c r="A228" s="66" t="s">
        <v>139</v>
      </c>
      <c r="B228" s="1">
        <f aca="true" t="shared" si="167" ref="B228:Z228">B106+($I$8-$F$7)*SIN(B118)+($J$8-$G$7)*COS(B118)</f>
        <v>-1</v>
      </c>
      <c r="C228" s="1">
        <f t="shared" si="167"/>
        <v>0.10208580053140975</v>
      </c>
      <c r="D228" s="1">
        <f t="shared" si="167"/>
        <v>0.9859935120559136</v>
      </c>
      <c r="E228" s="1">
        <f t="shared" si="167"/>
        <v>1.537585202102285</v>
      </c>
      <c r="F228" s="1">
        <f t="shared" si="167"/>
        <v>1.7781134661993483</v>
      </c>
      <c r="G228" s="1">
        <f t="shared" si="167"/>
        <v>1.7730233273967189</v>
      </c>
      <c r="H228" s="1">
        <f t="shared" si="167"/>
        <v>1.5797873218374172</v>
      </c>
      <c r="I228" s="1">
        <f t="shared" si="167"/>
        <v>1.24097340442747</v>
      </c>
      <c r="J228" s="1">
        <f t="shared" si="167"/>
        <v>0.7910104447195769</v>
      </c>
      <c r="K228" s="1">
        <f t="shared" si="167"/>
        <v>0.26176630141972007</v>
      </c>
      <c r="L228" s="1">
        <f t="shared" si="167"/>
        <v>-0.31552888049270206</v>
      </c>
      <c r="M228" s="1">
        <f t="shared" si="167"/>
        <v>-0.9108519595103204</v>
      </c>
      <c r="N228" s="1">
        <f t="shared" si="167"/>
        <v>-1.4969429121042144</v>
      </c>
      <c r="O228" s="1">
        <f t="shared" si="167"/>
        <v>-2.0507148395801575</v>
      </c>
      <c r="P228" s="1">
        <f t="shared" si="167"/>
        <v>-2.5538390541726135</v>
      </c>
      <c r="Q228" s="1">
        <f t="shared" si="167"/>
        <v>-2.99225021439276</v>
      </c>
      <c r="R228" s="1">
        <f t="shared" si="167"/>
        <v>-3.354633555995598</v>
      </c>
      <c r="S228" s="1">
        <f t="shared" si="167"/>
        <v>-3.630082762280142</v>
      </c>
      <c r="T228" s="1">
        <f t="shared" si="167"/>
        <v>-3.805039135463777</v>
      </c>
      <c r="U228" s="1">
        <f t="shared" si="167"/>
        <v>-3.859453720579282</v>
      </c>
      <c r="V228" s="1">
        <f t="shared" si="167"/>
        <v>-3.7622031093727646</v>
      </c>
      <c r="W228" s="1">
        <f t="shared" si="167"/>
        <v>-3.467204360908214</v>
      </c>
      <c r="X228" s="1">
        <f t="shared" si="167"/>
        <v>-2.9172858186679824</v>
      </c>
      <c r="Y228" s="1">
        <f t="shared" si="167"/>
        <v>-2.0753318102516913</v>
      </c>
      <c r="Z228" s="1">
        <f t="shared" si="167"/>
        <v>-1</v>
      </c>
    </row>
    <row r="229" spans="1:26" ht="15.75">
      <c r="A229" s="66" t="s">
        <v>140</v>
      </c>
      <c r="B229" s="1">
        <f aca="true" t="shared" si="168" ref="B229:Z229">B107-B123*(B228-B106)</f>
        <v>-0.9368347196393573</v>
      </c>
      <c r="C229" s="1">
        <f t="shared" si="168"/>
        <v>-1.4750118783428572</v>
      </c>
      <c r="D229" s="1">
        <f t="shared" si="168"/>
        <v>-1.4167336559522736</v>
      </c>
      <c r="E229" s="1">
        <f t="shared" si="168"/>
        <v>-0.8904114519422667</v>
      </c>
      <c r="F229" s="1">
        <f t="shared" si="168"/>
        <v>-0.2627079442535522</v>
      </c>
      <c r="G229" s="1">
        <f t="shared" si="168"/>
        <v>0.2633064422560688</v>
      </c>
      <c r="H229" s="1">
        <f t="shared" si="168"/>
        <v>0.6320319001044117</v>
      </c>
      <c r="I229" s="1">
        <f t="shared" si="168"/>
        <v>0.8408455527342227</v>
      </c>
      <c r="J229" s="1">
        <f t="shared" si="168"/>
        <v>0.9044968090824452</v>
      </c>
      <c r="K229" s="1">
        <f t="shared" si="168"/>
        <v>0.848642636246028</v>
      </c>
      <c r="L229" s="1">
        <f t="shared" si="168"/>
        <v>0.7072712191692225</v>
      </c>
      <c r="M229" s="1">
        <f t="shared" si="168"/>
        <v>0.5183357888868084</v>
      </c>
      <c r="N229" s="1">
        <f t="shared" si="168"/>
        <v>0.3180631303540911</v>
      </c>
      <c r="O229" s="1">
        <f t="shared" si="168"/>
        <v>0.13576792081402575</v>
      </c>
      <c r="P229" s="1">
        <f t="shared" si="168"/>
        <v>-0.008835975391613599</v>
      </c>
      <c r="Q229" s="1">
        <f t="shared" si="168"/>
        <v>-0.10521584009274923</v>
      </c>
      <c r="R229" s="1">
        <f t="shared" si="168"/>
        <v>-0.14962110691843744</v>
      </c>
      <c r="S229" s="1">
        <f t="shared" si="168"/>
        <v>-0.1423786010752618</v>
      </c>
      <c r="T229" s="1">
        <f t="shared" si="168"/>
        <v>-0.08635676476327259</v>
      </c>
      <c r="U229" s="1">
        <f t="shared" si="168"/>
        <v>0.011434676323587259</v>
      </c>
      <c r="V229" s="1">
        <f t="shared" si="168"/>
        <v>0.13122907911710968</v>
      </c>
      <c r="W229" s="1">
        <f t="shared" si="168"/>
        <v>0.21870188532627877</v>
      </c>
      <c r="X229" s="1">
        <f t="shared" si="168"/>
        <v>0.15221783435487368</v>
      </c>
      <c r="Y229" s="1">
        <f t="shared" si="168"/>
        <v>-0.23719380422727654</v>
      </c>
      <c r="Z229" s="1">
        <f t="shared" si="168"/>
        <v>-0.9335661859686306</v>
      </c>
    </row>
    <row r="230" spans="1:26" ht="15.75">
      <c r="A230" s="66" t="s">
        <v>141</v>
      </c>
      <c r="B230" s="1">
        <f aca="true" t="shared" si="169" ref="B230:Z230">B108+B123*(B227-B105)</f>
        <v>4.328290519026947</v>
      </c>
      <c r="C230" s="1">
        <f t="shared" si="169"/>
        <v>3.920994759331985</v>
      </c>
      <c r="D230" s="1">
        <f t="shared" si="169"/>
        <v>2.7646917779737064</v>
      </c>
      <c r="E230" s="1">
        <f t="shared" si="169"/>
        <v>1.4731935002642238</v>
      </c>
      <c r="F230" s="1">
        <f t="shared" si="169"/>
        <v>0.4060219326473057</v>
      </c>
      <c r="G230" s="1">
        <f t="shared" si="169"/>
        <v>-0.40752725390012806</v>
      </c>
      <c r="H230" s="1">
        <f t="shared" si="169"/>
        <v>-1.0331397423742767</v>
      </c>
      <c r="I230" s="1">
        <f t="shared" si="169"/>
        <v>-1.5175253450059636</v>
      </c>
      <c r="J230" s="1">
        <f t="shared" si="169"/>
        <v>-1.8788264870835292</v>
      </c>
      <c r="K230" s="1">
        <f t="shared" si="169"/>
        <v>-2.12124165145459</v>
      </c>
      <c r="L230" s="1">
        <f t="shared" si="169"/>
        <v>-2.2468211541183605</v>
      </c>
      <c r="M230" s="1">
        <f t="shared" si="169"/>
        <v>-2.262023389442565</v>
      </c>
      <c r="N230" s="1">
        <f t="shared" si="169"/>
        <v>-2.179953772816489</v>
      </c>
      <c r="O230" s="1">
        <f t="shared" si="169"/>
        <v>-2.0185490188312145</v>
      </c>
      <c r="P230" s="1">
        <f t="shared" si="169"/>
        <v>-1.7961265978195993</v>
      </c>
      <c r="Q230" s="1">
        <f t="shared" si="169"/>
        <v>-1.5267971376605574</v>
      </c>
      <c r="R230" s="1">
        <f t="shared" si="169"/>
        <v>-1.2171450329040108</v>
      </c>
      <c r="S230" s="1">
        <f t="shared" si="169"/>
        <v>-0.863676115146015</v>
      </c>
      <c r="T230" s="1">
        <f t="shared" si="169"/>
        <v>-0.4499175746389264</v>
      </c>
      <c r="U230" s="1">
        <f t="shared" si="169"/>
        <v>0.05704683408417225</v>
      </c>
      <c r="V230" s="1">
        <f t="shared" si="169"/>
        <v>0.7083069266206918</v>
      </c>
      <c r="W230" s="1">
        <f t="shared" si="169"/>
        <v>1.5625835360029408</v>
      </c>
      <c r="X230" s="1">
        <f t="shared" si="169"/>
        <v>2.63003155176257</v>
      </c>
      <c r="Y230" s="1">
        <f t="shared" si="169"/>
        <v>3.7206619042188844</v>
      </c>
      <c r="Z230" s="1">
        <f t="shared" si="169"/>
        <v>4.313189495333489</v>
      </c>
    </row>
    <row r="231" spans="1:26" ht="15.75">
      <c r="A231" s="66" t="s">
        <v>142</v>
      </c>
      <c r="B231" s="1">
        <f aca="true" t="shared" si="170" ref="B231:Z231">B109-B126*(B228-B106)-B123^2*(B227-B105)</f>
        <v>-2.765287619203651</v>
      </c>
      <c r="C231" s="1">
        <f t="shared" si="170"/>
        <v>-1.0239056189435076</v>
      </c>
      <c r="D231" s="1">
        <f t="shared" si="170"/>
        <v>1.3695546687687128</v>
      </c>
      <c r="E231" s="1">
        <f t="shared" si="170"/>
        <v>2.3986988538861</v>
      </c>
      <c r="F231" s="1">
        <f t="shared" si="170"/>
        <v>2.259690919256587</v>
      </c>
      <c r="G231" s="1">
        <f t="shared" si="170"/>
        <v>1.7096561828079264</v>
      </c>
      <c r="H231" s="1">
        <f t="shared" si="170"/>
        <v>1.0909303829039314</v>
      </c>
      <c r="I231" s="1">
        <f t="shared" si="170"/>
        <v>0.5044308876317319</v>
      </c>
      <c r="J231" s="1">
        <f t="shared" si="170"/>
        <v>-0.004086354814295423</v>
      </c>
      <c r="K231" s="1">
        <f t="shared" si="170"/>
        <v>-0.3980885125183291</v>
      </c>
      <c r="L231" s="1">
        <f t="shared" si="170"/>
        <v>-0.6524158536551827</v>
      </c>
      <c r="M231" s="1">
        <f t="shared" si="170"/>
        <v>-0.7615999618581506</v>
      </c>
      <c r="N231" s="1">
        <f t="shared" si="170"/>
        <v>-0.7430470462523384</v>
      </c>
      <c r="O231" s="1">
        <f t="shared" si="170"/>
        <v>-0.6305880746337671</v>
      </c>
      <c r="P231" s="1">
        <f t="shared" si="170"/>
        <v>-0.46187541419332734</v>
      </c>
      <c r="Q231" s="1">
        <f t="shared" si="170"/>
        <v>-0.2679875315203918</v>
      </c>
      <c r="R231" s="1">
        <f t="shared" si="170"/>
        <v>-0.06940280517709332</v>
      </c>
      <c r="S231" s="1">
        <f t="shared" si="170"/>
        <v>0.1224616479305908</v>
      </c>
      <c r="T231" s="1">
        <f t="shared" si="170"/>
        <v>0.29795398300915404</v>
      </c>
      <c r="U231" s="1">
        <f t="shared" si="170"/>
        <v>0.43143562876807745</v>
      </c>
      <c r="V231" s="1">
        <f t="shared" si="170"/>
        <v>0.4437414038796546</v>
      </c>
      <c r="W231" s="1">
        <f t="shared" si="170"/>
        <v>0.1426566249184668</v>
      </c>
      <c r="X231" s="1">
        <f t="shared" si="170"/>
        <v>-0.7664986451444568</v>
      </c>
      <c r="Y231" s="1">
        <f t="shared" si="170"/>
        <v>-2.204957288173088</v>
      </c>
      <c r="Z231" s="1">
        <f t="shared" si="170"/>
        <v>-2.7618030270940275</v>
      </c>
    </row>
    <row r="232" spans="1:26" ht="16.5" thickBot="1">
      <c r="A232" s="67" t="s">
        <v>143</v>
      </c>
      <c r="B232" s="1">
        <f aca="true" t="shared" si="171" ref="B232:Z232">B110+B126*(B227-B105)-B123^2*(B228-B106)</f>
        <v>0.45362461916659624</v>
      </c>
      <c r="C232" s="1">
        <f t="shared" si="171"/>
        <v>-3.3590533129691953</v>
      </c>
      <c r="D232" s="1">
        <f t="shared" si="171"/>
        <v>-5.071550583251185</v>
      </c>
      <c r="E232" s="1">
        <f t="shared" si="171"/>
        <v>-4.591814891759896</v>
      </c>
      <c r="F232" s="1">
        <f t="shared" si="171"/>
        <v>-3.5385529748775695</v>
      </c>
      <c r="G232" s="1">
        <f t="shared" si="171"/>
        <v>-2.69259177231726</v>
      </c>
      <c r="H232" s="1">
        <f t="shared" si="171"/>
        <v>-2.0881850500600176</v>
      </c>
      <c r="I232" s="1">
        <f t="shared" si="171"/>
        <v>-1.6004770366117844</v>
      </c>
      <c r="J232" s="1">
        <f t="shared" si="171"/>
        <v>-1.1460678655156262</v>
      </c>
      <c r="K232" s="1">
        <f t="shared" si="171"/>
        <v>-0.6966873049246392</v>
      </c>
      <c r="L232" s="1">
        <f t="shared" si="171"/>
        <v>-0.2599340802292342</v>
      </c>
      <c r="M232" s="1">
        <f t="shared" si="171"/>
        <v>0.13909410262860472</v>
      </c>
      <c r="N232" s="1">
        <f t="shared" si="171"/>
        <v>0.47590591798214466</v>
      </c>
      <c r="O232" s="1">
        <f t="shared" si="171"/>
        <v>0.7405706418635329</v>
      </c>
      <c r="P232" s="1">
        <f t="shared" si="171"/>
        <v>0.9413787009221353</v>
      </c>
      <c r="Q232" s="1">
        <f t="shared" si="171"/>
        <v>1.1008450768162565</v>
      </c>
      <c r="R232" s="1">
        <f t="shared" si="171"/>
        <v>1.2520086357517182</v>
      </c>
      <c r="S232" s="1">
        <f t="shared" si="171"/>
        <v>1.4385592322357077</v>
      </c>
      <c r="T232" s="1">
        <f t="shared" si="171"/>
        <v>1.7167878938906653</v>
      </c>
      <c r="U232" s="1">
        <f t="shared" si="171"/>
        <v>2.1549468676437704</v>
      </c>
      <c r="V232" s="1">
        <f t="shared" si="171"/>
        <v>2.8158360628065626</v>
      </c>
      <c r="W232" s="1">
        <f t="shared" si="171"/>
        <v>3.6693334490209835</v>
      </c>
      <c r="X232" s="1">
        <f t="shared" si="171"/>
        <v>4.316867454513359</v>
      </c>
      <c r="Y232" s="1">
        <f t="shared" si="171"/>
        <v>3.619954197772008</v>
      </c>
      <c r="Z232" s="1">
        <f t="shared" si="171"/>
        <v>0.5233585063796778</v>
      </c>
    </row>
    <row r="233" spans="1:27" s="94" customFormat="1" ht="15">
      <c r="A233" s="96" t="s">
        <v>301</v>
      </c>
      <c r="B233" s="95">
        <f aca="true" t="shared" si="172" ref="B233:Z233">(B227-B105)^2+(B228-B106)^2</f>
        <v>135.65325942604298</v>
      </c>
      <c r="C233" s="95">
        <f t="shared" si="172"/>
        <v>135.65325942604298</v>
      </c>
      <c r="D233" s="95">
        <f t="shared" si="172"/>
        <v>135.65325942604298</v>
      </c>
      <c r="E233" s="95">
        <f t="shared" si="172"/>
        <v>135.653259426043</v>
      </c>
      <c r="F233" s="95">
        <f t="shared" si="172"/>
        <v>135.65325942604298</v>
      </c>
      <c r="G233" s="95">
        <f t="shared" si="172"/>
        <v>135.65325942604298</v>
      </c>
      <c r="H233" s="95">
        <f t="shared" si="172"/>
        <v>135.653259426043</v>
      </c>
      <c r="I233" s="95">
        <f t="shared" si="172"/>
        <v>135.65325942604298</v>
      </c>
      <c r="J233" s="95">
        <f t="shared" si="172"/>
        <v>135.65325942604298</v>
      </c>
      <c r="K233" s="95">
        <f t="shared" si="172"/>
        <v>135.65325942604298</v>
      </c>
      <c r="L233" s="95">
        <f t="shared" si="172"/>
        <v>135.65325942604304</v>
      </c>
      <c r="M233" s="95">
        <f t="shared" si="172"/>
        <v>135.653259426043</v>
      </c>
      <c r="N233" s="95">
        <f t="shared" si="172"/>
        <v>135.65325942604304</v>
      </c>
      <c r="O233" s="95">
        <f t="shared" si="172"/>
        <v>135.65325942604298</v>
      </c>
      <c r="P233" s="95">
        <f t="shared" si="172"/>
        <v>135.653259426043</v>
      </c>
      <c r="Q233" s="95">
        <f t="shared" si="172"/>
        <v>135.65325942604298</v>
      </c>
      <c r="R233" s="95">
        <f t="shared" si="172"/>
        <v>135.65325942604298</v>
      </c>
      <c r="S233" s="95">
        <f t="shared" si="172"/>
        <v>135.653259426043</v>
      </c>
      <c r="T233" s="95">
        <f t="shared" si="172"/>
        <v>135.65325942604295</v>
      </c>
      <c r="U233" s="95">
        <f t="shared" si="172"/>
        <v>135.653259426043</v>
      </c>
      <c r="V233" s="95">
        <f t="shared" si="172"/>
        <v>135.65325942604295</v>
      </c>
      <c r="W233" s="95">
        <f t="shared" si="172"/>
        <v>135.653259426043</v>
      </c>
      <c r="X233" s="95">
        <f t="shared" si="172"/>
        <v>135.65325942604295</v>
      </c>
      <c r="Y233" s="95">
        <f t="shared" si="172"/>
        <v>135.65325942604295</v>
      </c>
      <c r="Z233" s="95">
        <f t="shared" si="172"/>
        <v>135.65325942604298</v>
      </c>
      <c r="AA233" s="155"/>
    </row>
    <row r="234" spans="1:27" s="94" customFormat="1" ht="15">
      <c r="A234" s="96" t="s">
        <v>347</v>
      </c>
      <c r="B234" s="95">
        <f aca="true" t="shared" si="173" ref="B234:Z234">(B227-B129)^2+(B228-B130)^2</f>
        <v>185.66114818516456</v>
      </c>
      <c r="C234" s="95">
        <f t="shared" si="173"/>
        <v>185.66114818516456</v>
      </c>
      <c r="D234" s="95">
        <f t="shared" si="173"/>
        <v>185.6611481851645</v>
      </c>
      <c r="E234" s="95">
        <f t="shared" si="173"/>
        <v>185.6611481851645</v>
      </c>
      <c r="F234" s="95">
        <f t="shared" si="173"/>
        <v>185.66114818516454</v>
      </c>
      <c r="G234" s="95">
        <f t="shared" si="173"/>
        <v>185.66114818516456</v>
      </c>
      <c r="H234" s="95">
        <f t="shared" si="173"/>
        <v>185.66114818516454</v>
      </c>
      <c r="I234" s="95">
        <f t="shared" si="173"/>
        <v>185.66114818516448</v>
      </c>
      <c r="J234" s="95">
        <f t="shared" si="173"/>
        <v>185.6611481851646</v>
      </c>
      <c r="K234" s="95">
        <f t="shared" si="173"/>
        <v>185.66114818516456</v>
      </c>
      <c r="L234" s="95">
        <f t="shared" si="173"/>
        <v>185.66114818516462</v>
      </c>
      <c r="M234" s="95">
        <f t="shared" si="173"/>
        <v>185.66114818516456</v>
      </c>
      <c r="N234" s="95">
        <f t="shared" si="173"/>
        <v>185.6611481851646</v>
      </c>
      <c r="O234" s="95">
        <f t="shared" si="173"/>
        <v>185.66114818516456</v>
      </c>
      <c r="P234" s="95">
        <f t="shared" si="173"/>
        <v>185.66114818516454</v>
      </c>
      <c r="Q234" s="95">
        <f t="shared" si="173"/>
        <v>185.6611481851645</v>
      </c>
      <c r="R234" s="95">
        <f t="shared" si="173"/>
        <v>185.6611481851645</v>
      </c>
      <c r="S234" s="95">
        <f t="shared" si="173"/>
        <v>185.6611481851646</v>
      </c>
      <c r="T234" s="95">
        <f t="shared" si="173"/>
        <v>185.6611481851645</v>
      </c>
      <c r="U234" s="95">
        <f t="shared" si="173"/>
        <v>185.66114818516456</v>
      </c>
      <c r="V234" s="95">
        <f t="shared" si="173"/>
        <v>185.6611481851645</v>
      </c>
      <c r="W234" s="95">
        <f t="shared" si="173"/>
        <v>185.66114818516454</v>
      </c>
      <c r="X234" s="95">
        <f t="shared" si="173"/>
        <v>185.66114818516448</v>
      </c>
      <c r="Y234" s="95">
        <f t="shared" si="173"/>
        <v>185.6611481851645</v>
      </c>
      <c r="Z234" s="95">
        <f t="shared" si="173"/>
        <v>185.66114818516456</v>
      </c>
      <c r="AA234" s="155"/>
    </row>
    <row r="235" ht="15.75" thickBot="1"/>
    <row r="236" spans="1:26" ht="15.75">
      <c r="A236" s="68" t="s">
        <v>144</v>
      </c>
      <c r="B236" s="1">
        <f aca="true" t="shared" si="174" ref="B236:Z236">$K$8*B231</f>
        <v>-1.6591725715221906</v>
      </c>
      <c r="C236" s="1">
        <f t="shared" si="174"/>
        <v>-0.6143433713661045</v>
      </c>
      <c r="D236" s="1">
        <f t="shared" si="174"/>
        <v>0.8217328012612276</v>
      </c>
      <c r="E236" s="1">
        <f t="shared" si="174"/>
        <v>1.43921931233166</v>
      </c>
      <c r="F236" s="1">
        <f t="shared" si="174"/>
        <v>1.3558145515539521</v>
      </c>
      <c r="G236" s="1">
        <f t="shared" si="174"/>
        <v>1.0257937096847558</v>
      </c>
      <c r="H236" s="1">
        <f t="shared" si="174"/>
        <v>0.6545582297423588</v>
      </c>
      <c r="I236" s="1">
        <f t="shared" si="174"/>
        <v>0.30265853257903913</v>
      </c>
      <c r="J236" s="1">
        <f t="shared" si="174"/>
        <v>-0.0024518128885772537</v>
      </c>
      <c r="K236" s="1">
        <f t="shared" si="174"/>
        <v>-0.23885310751099745</v>
      </c>
      <c r="L236" s="1">
        <f t="shared" si="174"/>
        <v>-0.39144951219310964</v>
      </c>
      <c r="M236" s="1">
        <f t="shared" si="174"/>
        <v>-0.45695997711489034</v>
      </c>
      <c r="N236" s="1">
        <f t="shared" si="174"/>
        <v>-0.445828227751403</v>
      </c>
      <c r="O236" s="1">
        <f t="shared" si="174"/>
        <v>-0.37835284478026027</v>
      </c>
      <c r="P236" s="1">
        <f t="shared" si="174"/>
        <v>-0.2771252485159964</v>
      </c>
      <c r="Q236" s="1">
        <f t="shared" si="174"/>
        <v>-0.16079251891223506</v>
      </c>
      <c r="R236" s="1">
        <f t="shared" si="174"/>
        <v>-0.041641683106255996</v>
      </c>
      <c r="S236" s="1">
        <f t="shared" si="174"/>
        <v>0.07347698875835448</v>
      </c>
      <c r="T236" s="1">
        <f t="shared" si="174"/>
        <v>0.17877238980549243</v>
      </c>
      <c r="U236" s="1">
        <f t="shared" si="174"/>
        <v>0.25886137726084646</v>
      </c>
      <c r="V236" s="1">
        <f t="shared" si="174"/>
        <v>0.2662448423277928</v>
      </c>
      <c r="W236" s="1">
        <f t="shared" si="174"/>
        <v>0.08559397495108008</v>
      </c>
      <c r="X236" s="1">
        <f t="shared" si="174"/>
        <v>-0.45989918708667404</v>
      </c>
      <c r="Y236" s="1">
        <f t="shared" si="174"/>
        <v>-1.3229743729038528</v>
      </c>
      <c r="Z236" s="1">
        <f t="shared" si="174"/>
        <v>-1.6570818162564165</v>
      </c>
    </row>
    <row r="237" spans="1:26" ht="15.75">
      <c r="A237" s="66" t="s">
        <v>145</v>
      </c>
      <c r="B237" s="1">
        <f aca="true" t="shared" si="175" ref="B237:Z237">$K$8*B232</f>
        <v>0.2721747714999577</v>
      </c>
      <c r="C237" s="1">
        <f t="shared" si="175"/>
        <v>-2.015431987781517</v>
      </c>
      <c r="D237" s="1">
        <f t="shared" si="175"/>
        <v>-3.042930349950711</v>
      </c>
      <c r="E237" s="1">
        <f t="shared" si="175"/>
        <v>-2.7550889350559378</v>
      </c>
      <c r="F237" s="1">
        <f t="shared" si="175"/>
        <v>-2.1231317849265414</v>
      </c>
      <c r="G237" s="1">
        <f t="shared" si="175"/>
        <v>-1.615555063390356</v>
      </c>
      <c r="H237" s="1">
        <f t="shared" si="175"/>
        <v>-1.2529110300360105</v>
      </c>
      <c r="I237" s="1">
        <f t="shared" si="175"/>
        <v>-0.9602862219670706</v>
      </c>
      <c r="J237" s="1">
        <f t="shared" si="175"/>
        <v>-0.6876407193093758</v>
      </c>
      <c r="K237" s="1">
        <f t="shared" si="175"/>
        <v>-0.4180123829547835</v>
      </c>
      <c r="L237" s="1">
        <f t="shared" si="175"/>
        <v>-0.1559604481375405</v>
      </c>
      <c r="M237" s="1">
        <f t="shared" si="175"/>
        <v>0.08345646157716283</v>
      </c>
      <c r="N237" s="1">
        <f t="shared" si="175"/>
        <v>0.2855435507892868</v>
      </c>
      <c r="O237" s="1">
        <f t="shared" si="175"/>
        <v>0.44434238511811974</v>
      </c>
      <c r="P237" s="1">
        <f t="shared" si="175"/>
        <v>0.5648272205532812</v>
      </c>
      <c r="Q237" s="1">
        <f t="shared" si="175"/>
        <v>0.6605070460897539</v>
      </c>
      <c r="R237" s="1">
        <f t="shared" si="175"/>
        <v>0.7512051814510309</v>
      </c>
      <c r="S237" s="1">
        <f t="shared" si="175"/>
        <v>0.8631355393414246</v>
      </c>
      <c r="T237" s="1">
        <f t="shared" si="175"/>
        <v>1.030072736334399</v>
      </c>
      <c r="U237" s="1">
        <f t="shared" si="175"/>
        <v>1.2929681205862622</v>
      </c>
      <c r="V237" s="1">
        <f t="shared" si="175"/>
        <v>1.6895016376839376</v>
      </c>
      <c r="W237" s="1">
        <f t="shared" si="175"/>
        <v>2.20160006941259</v>
      </c>
      <c r="X237" s="1">
        <f t="shared" si="175"/>
        <v>2.590120472708015</v>
      </c>
      <c r="Y237" s="1">
        <f t="shared" si="175"/>
        <v>2.1719725186632046</v>
      </c>
      <c r="Z237" s="1">
        <f t="shared" si="175"/>
        <v>0.3140151038278067</v>
      </c>
    </row>
    <row r="238" spans="1:26" ht="16.5" thickBot="1">
      <c r="A238" s="67" t="s">
        <v>146</v>
      </c>
      <c r="B238" s="1">
        <f aca="true" t="shared" si="176" ref="B238:Z238">$M$8*B126</f>
        <v>0.05112712203685056</v>
      </c>
      <c r="C238" s="1">
        <f t="shared" si="176"/>
        <v>-0.4940789530006373</v>
      </c>
      <c r="D238" s="1">
        <f t="shared" si="176"/>
        <v>-0.7499141147065795</v>
      </c>
      <c r="E238" s="1">
        <f t="shared" si="176"/>
        <v>-0.6882939283871181</v>
      </c>
      <c r="F238" s="1">
        <f t="shared" si="176"/>
        <v>-0.5344766171067226</v>
      </c>
      <c r="G238" s="1">
        <f t="shared" si="176"/>
        <v>-0.4066018851590519</v>
      </c>
      <c r="H238" s="1">
        <f t="shared" si="176"/>
        <v>-0.31300291511824696</v>
      </c>
      <c r="I238" s="1">
        <f t="shared" si="176"/>
        <v>-0.2369135961296451</v>
      </c>
      <c r="J238" s="1">
        <f t="shared" si="176"/>
        <v>-0.16742930480343868</v>
      </c>
      <c r="K238" s="1">
        <f t="shared" si="176"/>
        <v>-0.10117890582619232</v>
      </c>
      <c r="L238" s="1">
        <f t="shared" si="176"/>
        <v>-0.038957122296600324</v>
      </c>
      <c r="M238" s="1">
        <f t="shared" si="176"/>
        <v>0.016803090310234546</v>
      </c>
      <c r="N238" s="1">
        <f t="shared" si="176"/>
        <v>0.06401217513816396</v>
      </c>
      <c r="O238" s="1">
        <f t="shared" si="176"/>
        <v>0.10231874340915015</v>
      </c>
      <c r="P238" s="1">
        <f t="shared" si="176"/>
        <v>0.13338133126388235</v>
      </c>
      <c r="Q238" s="1">
        <f t="shared" si="176"/>
        <v>0.1603973792988077</v>
      </c>
      <c r="R238" s="1">
        <f t="shared" si="176"/>
        <v>0.18782929877094406</v>
      </c>
      <c r="S238" s="1">
        <f t="shared" si="176"/>
        <v>0.2216290847081437</v>
      </c>
      <c r="T238" s="1">
        <f t="shared" si="176"/>
        <v>0.2694890430768637</v>
      </c>
      <c r="U238" s="1">
        <f t="shared" si="176"/>
        <v>0.34028003406745</v>
      </c>
      <c r="V238" s="1">
        <f t="shared" si="176"/>
        <v>0.4404804288016973</v>
      </c>
      <c r="W238" s="1">
        <f t="shared" si="176"/>
        <v>0.5604495566209412</v>
      </c>
      <c r="X238" s="1">
        <f t="shared" si="176"/>
        <v>0.6372384527427319</v>
      </c>
      <c r="Y238" s="1">
        <f t="shared" si="176"/>
        <v>0.5139828732893195</v>
      </c>
      <c r="Z238" s="1">
        <f t="shared" si="176"/>
        <v>0.06165409925308969</v>
      </c>
    </row>
    <row r="239" spans="1:26" ht="15.75" thickBot="1">
      <c r="A239" s="5" t="s">
        <v>346</v>
      </c>
      <c r="B239" s="1">
        <f aca="true" t="shared" si="177" ref="B239:Z239">+B238*B123</f>
        <v>0.022026205258899735</v>
      </c>
      <c r="C239" s="1">
        <f t="shared" si="177"/>
        <v>-0.19252435418692673</v>
      </c>
      <c r="D239" s="1">
        <f t="shared" si="177"/>
        <v>-0.20713299575677052</v>
      </c>
      <c r="E239" s="1">
        <f t="shared" si="177"/>
        <v>-0.1018751130529601</v>
      </c>
      <c r="F239" s="1">
        <f t="shared" si="177"/>
        <v>-0.021864054738651204</v>
      </c>
      <c r="G239" s="1">
        <f t="shared" si="177"/>
        <v>0.01669368667382103</v>
      </c>
      <c r="H239" s="1">
        <f t="shared" si="177"/>
        <v>0.03250506474214701</v>
      </c>
      <c r="I239" s="1">
        <f t="shared" si="177"/>
        <v>0.03600559124763886</v>
      </c>
      <c r="J239" s="1">
        <f t="shared" si="177"/>
        <v>0.031376962365470294</v>
      </c>
      <c r="K239" s="1">
        <f t="shared" si="177"/>
        <v>0.02134101920355148</v>
      </c>
      <c r="L239" s="1">
        <f t="shared" si="177"/>
        <v>0.008693811853825298</v>
      </c>
      <c r="M239" s="1">
        <f t="shared" si="177"/>
        <v>-0.003781317013567127</v>
      </c>
      <c r="N239" s="1">
        <f t="shared" si="177"/>
        <v>-0.013945307350667785</v>
      </c>
      <c r="O239" s="1">
        <f t="shared" si="177"/>
        <v>-0.020787271787493823</v>
      </c>
      <c r="P239" s="1">
        <f t="shared" si="177"/>
        <v>-0.024330008780131796</v>
      </c>
      <c r="Q239" s="1">
        <f t="shared" si="177"/>
        <v>-0.025119362977775048</v>
      </c>
      <c r="R239" s="1">
        <f t="shared" si="177"/>
        <v>-0.023680591371725252</v>
      </c>
      <c r="S239" s="1">
        <f t="shared" si="177"/>
        <v>-0.019995914081841606</v>
      </c>
      <c r="T239" s="1">
        <f t="shared" si="177"/>
        <v>-0.012740335079284335</v>
      </c>
      <c r="U239" s="1">
        <f t="shared" si="177"/>
        <v>0.002043618289962269</v>
      </c>
      <c r="V239" s="1">
        <f t="shared" si="177"/>
        <v>0.03273534300356853</v>
      </c>
      <c r="W239" s="1">
        <f t="shared" si="177"/>
        <v>0.09101687455796685</v>
      </c>
      <c r="X239" s="1">
        <f t="shared" si="177"/>
        <v>0.17158976050642047</v>
      </c>
      <c r="Y239" s="1">
        <f t="shared" si="177"/>
        <v>0.19254754269857666</v>
      </c>
      <c r="Z239" s="1">
        <f t="shared" si="177"/>
        <v>0.026468688803996884</v>
      </c>
    </row>
    <row r="240" spans="1:26" ht="15.75">
      <c r="A240" s="68" t="s">
        <v>147</v>
      </c>
      <c r="B240" s="1">
        <f aca="true" t="shared" si="178" ref="B240:Z240">B229*B236+B230*B237+B238*B123</f>
        <v>2.7544481591357948</v>
      </c>
      <c r="C240" s="1">
        <f t="shared" si="178"/>
        <v>-7.188858845922099</v>
      </c>
      <c r="D240" s="1">
        <f t="shared" si="178"/>
        <v>-9.784074030958879</v>
      </c>
      <c r="E240" s="1">
        <f t="shared" si="178"/>
        <v>-5.4421515823838345</v>
      </c>
      <c r="F240" s="1">
        <f t="shared" si="178"/>
        <v>-1.24008537894724</v>
      </c>
      <c r="G240" s="1">
        <f t="shared" si="178"/>
        <v>0.9451744973674878</v>
      </c>
      <c r="H240" s="1">
        <f t="shared" si="178"/>
        <v>1.7406389252044836</v>
      </c>
      <c r="I240" s="1">
        <f t="shared" si="178"/>
        <v>1.7477533526588418</v>
      </c>
      <c r="J240" s="1">
        <f t="shared" si="178"/>
        <v>1.3211169024669105</v>
      </c>
      <c r="K240" s="1">
        <f t="shared" si="178"/>
        <v>0.7053453659173362</v>
      </c>
      <c r="L240" s="1">
        <f t="shared" si="178"/>
        <v>0.08224807220301268</v>
      </c>
      <c r="M240" s="1">
        <f t="shared" si="178"/>
        <v>-0.4294204953287688</v>
      </c>
      <c r="N240" s="1">
        <f t="shared" si="178"/>
        <v>-0.7782185699160181</v>
      </c>
      <c r="O240" s="1">
        <f t="shared" si="178"/>
        <v>-0.9690823363626839</v>
      </c>
      <c r="P240" s="1">
        <f t="shared" si="178"/>
        <v>-1.0363825309121149</v>
      </c>
      <c r="Q240" s="1">
        <f t="shared" si="178"/>
        <v>-1.016661710394261</v>
      </c>
      <c r="R240" s="1">
        <f t="shared" si="178"/>
        <v>-0.9317757719462989</v>
      </c>
      <c r="S240" s="1">
        <f t="shared" si="178"/>
        <v>-0.775927014415341</v>
      </c>
      <c r="T240" s="1">
        <f t="shared" si="178"/>
        <v>-0.4916263675251405</v>
      </c>
      <c r="U240" s="1">
        <f t="shared" si="178"/>
        <v>0.07876335220282657</v>
      </c>
      <c r="V240" s="1">
        <f t="shared" si="178"/>
        <v>1.2643601209904605</v>
      </c>
      <c r="W240" s="1">
        <f t="shared" si="178"/>
        <v>3.5499204595793827</v>
      </c>
      <c r="X240" s="1">
        <f t="shared" si="178"/>
        <v>6.913683468314782</v>
      </c>
      <c r="Y240" s="1">
        <f t="shared" si="178"/>
        <v>8.587524274303362</v>
      </c>
      <c r="Z240" s="1">
        <f t="shared" si="178"/>
        <v>2.9278708870506214</v>
      </c>
    </row>
    <row r="241" spans="1:26" ht="15.75">
      <c r="A241" s="66" t="s">
        <v>148</v>
      </c>
      <c r="B241" s="1">
        <f aca="true" t="shared" si="179" ref="B241:Z241">$L$8*B230</f>
        <v>25.47631799499261</v>
      </c>
      <c r="C241" s="1">
        <f t="shared" si="179"/>
        <v>23.078975153428065</v>
      </c>
      <c r="D241" s="1">
        <f t="shared" si="179"/>
        <v>16.272975805153237</v>
      </c>
      <c r="E241" s="1">
        <f t="shared" si="179"/>
        <v>8.67121694255522</v>
      </c>
      <c r="F241" s="1">
        <f t="shared" si="179"/>
        <v>2.389845095562041</v>
      </c>
      <c r="G241" s="1">
        <f t="shared" si="179"/>
        <v>-2.3987054164561536</v>
      </c>
      <c r="H241" s="1">
        <f t="shared" si="179"/>
        <v>-6.081060523614993</v>
      </c>
      <c r="I241" s="1">
        <f t="shared" si="179"/>
        <v>-8.932154180705101</v>
      </c>
      <c r="J241" s="1">
        <f t="shared" si="179"/>
        <v>-11.058772702973654</v>
      </c>
      <c r="K241" s="1">
        <f t="shared" si="179"/>
        <v>-12.485628360461718</v>
      </c>
      <c r="L241" s="1">
        <f t="shared" si="179"/>
        <v>-13.22478931314067</v>
      </c>
      <c r="M241" s="1">
        <f t="shared" si="179"/>
        <v>-13.314269670258938</v>
      </c>
      <c r="N241" s="1">
        <f t="shared" si="179"/>
        <v>-12.831207906797854</v>
      </c>
      <c r="O241" s="1">
        <f t="shared" si="179"/>
        <v>-11.88117952484053</v>
      </c>
      <c r="P241" s="1">
        <f t="shared" si="179"/>
        <v>-10.572001154766161</v>
      </c>
      <c r="Q241" s="1">
        <f t="shared" si="179"/>
        <v>-8.98672795227004</v>
      </c>
      <c r="R241" s="1">
        <f t="shared" si="179"/>
        <v>-7.164115663673008</v>
      </c>
      <c r="S241" s="1">
        <f t="shared" si="179"/>
        <v>-5.083597613749444</v>
      </c>
      <c r="T241" s="1">
        <f t="shared" si="179"/>
        <v>-2.6482148443247207</v>
      </c>
      <c r="U241" s="1">
        <f t="shared" si="179"/>
        <v>0.3357776654194379</v>
      </c>
      <c r="V241" s="1">
        <f t="shared" si="179"/>
        <v>4.169094570089392</v>
      </c>
      <c r="W241" s="1">
        <f t="shared" si="179"/>
        <v>9.19736669291331</v>
      </c>
      <c r="X241" s="1">
        <f t="shared" si="179"/>
        <v>15.480365713674487</v>
      </c>
      <c r="Y241" s="1">
        <f t="shared" si="179"/>
        <v>21.899815968232353</v>
      </c>
      <c r="Z241" s="1">
        <f t="shared" si="179"/>
        <v>25.387433369532918</v>
      </c>
    </row>
    <row r="242" spans="1:26" ht="16.5" thickBot="1">
      <c r="A242" s="67" t="s">
        <v>149</v>
      </c>
      <c r="B242" s="1">
        <f>SUM(B240:B241)</f>
        <v>28.230766154128403</v>
      </c>
      <c r="C242" s="1">
        <f aca="true" t="shared" si="180" ref="C242:Z242">SUM(C240:C241)</f>
        <v>15.890116307505966</v>
      </c>
      <c r="D242" s="1">
        <f t="shared" si="180"/>
        <v>6.488901774194359</v>
      </c>
      <c r="E242" s="1">
        <f t="shared" si="180"/>
        <v>3.2290653601713863</v>
      </c>
      <c r="F242" s="1">
        <f t="shared" si="180"/>
        <v>1.1497597166148013</v>
      </c>
      <c r="G242" s="1">
        <f t="shared" si="180"/>
        <v>-1.4535309190886658</v>
      </c>
      <c r="H242" s="1">
        <f t="shared" si="180"/>
        <v>-4.34042159841051</v>
      </c>
      <c r="I242" s="1">
        <f t="shared" si="180"/>
        <v>-7.184400828046259</v>
      </c>
      <c r="J242" s="1">
        <f t="shared" si="180"/>
        <v>-9.737655800506744</v>
      </c>
      <c r="K242" s="1">
        <f t="shared" si="180"/>
        <v>-11.78028299454438</v>
      </c>
      <c r="L242" s="1">
        <f t="shared" si="180"/>
        <v>-13.142541240937657</v>
      </c>
      <c r="M242" s="1">
        <f t="shared" si="180"/>
        <v>-13.743690165587706</v>
      </c>
      <c r="N242" s="1">
        <f t="shared" si="180"/>
        <v>-13.609426476713871</v>
      </c>
      <c r="O242" s="1">
        <f t="shared" si="180"/>
        <v>-12.850261861203213</v>
      </c>
      <c r="P242" s="1">
        <f t="shared" si="180"/>
        <v>-11.608383685678277</v>
      </c>
      <c r="Q242" s="1">
        <f t="shared" si="180"/>
        <v>-10.003389662664302</v>
      </c>
      <c r="R242" s="1">
        <f t="shared" si="180"/>
        <v>-8.095891435619308</v>
      </c>
      <c r="S242" s="1">
        <f t="shared" si="180"/>
        <v>-5.8595246281647855</v>
      </c>
      <c r="T242" s="1">
        <f t="shared" si="180"/>
        <v>-3.1398412118498613</v>
      </c>
      <c r="U242" s="1">
        <f t="shared" si="180"/>
        <v>0.4145410176222645</v>
      </c>
      <c r="V242" s="1">
        <f t="shared" si="180"/>
        <v>5.433454691079852</v>
      </c>
      <c r="W242" s="1">
        <f t="shared" si="180"/>
        <v>12.747287152492692</v>
      </c>
      <c r="X242" s="1">
        <f t="shared" si="180"/>
        <v>22.39404918198927</v>
      </c>
      <c r="Y242" s="1">
        <f t="shared" si="180"/>
        <v>30.487340242535716</v>
      </c>
      <c r="Z242" s="1">
        <f t="shared" si="180"/>
        <v>28.315304256583538</v>
      </c>
    </row>
    <row r="243" ht="15.75" thickBot="1">
      <c r="A243" s="5"/>
    </row>
    <row r="244" spans="1:26" ht="16.5" thickBot="1">
      <c r="A244" s="69" t="s">
        <v>150</v>
      </c>
      <c r="B244" s="1">
        <f aca="true" t="shared" si="181" ref="B244:Z244">($K$8*(B229^2+B230^2)/2)+$M$8*(B123^2)/2</f>
        <v>6.022727015556669</v>
      </c>
      <c r="C244" s="1">
        <f t="shared" si="181"/>
        <v>5.378836002772569</v>
      </c>
      <c r="D244" s="1">
        <f t="shared" si="181"/>
        <v>2.9524150048387416</v>
      </c>
      <c r="E244" s="1">
        <f t="shared" si="181"/>
        <v>0.9053699480193607</v>
      </c>
      <c r="F244" s="1">
        <f t="shared" si="181"/>
        <v>0.07141584434606774</v>
      </c>
      <c r="G244" s="1">
        <f t="shared" si="181"/>
        <v>0.07188685621522291</v>
      </c>
      <c r="H244" s="1">
        <f t="shared" si="181"/>
        <v>0.4481410885544385</v>
      </c>
      <c r="I244" s="1">
        <f t="shared" si="181"/>
        <v>0.9202942483736998</v>
      </c>
      <c r="J244" s="1">
        <f t="shared" si="181"/>
        <v>1.330771296990483</v>
      </c>
      <c r="K244" s="1">
        <f t="shared" si="181"/>
        <v>1.5993247145998442</v>
      </c>
      <c r="L244" s="1">
        <f t="shared" si="181"/>
        <v>1.7018828587796335</v>
      </c>
      <c r="M244" s="1">
        <f t="shared" si="181"/>
        <v>1.6536077794412203</v>
      </c>
      <c r="N244" s="1">
        <f t="shared" si="181"/>
        <v>1.4916040505694086</v>
      </c>
      <c r="O244" s="1">
        <f t="shared" si="181"/>
        <v>1.2588479935135113</v>
      </c>
      <c r="P244" s="1">
        <f t="shared" si="181"/>
        <v>0.9927995412181713</v>
      </c>
      <c r="Q244" s="1">
        <f t="shared" si="181"/>
        <v>0.7210482916304493</v>
      </c>
      <c r="R244" s="1">
        <f t="shared" si="181"/>
        <v>0.4630697438610491</v>
      </c>
      <c r="S244" s="1">
        <f t="shared" si="181"/>
        <v>0.2359674942268581</v>
      </c>
      <c r="T244" s="1">
        <f t="shared" si="181"/>
        <v>0.06464125195841529</v>
      </c>
      <c r="U244" s="1">
        <f t="shared" si="181"/>
        <v>0.001042579214870711</v>
      </c>
      <c r="V244" s="1">
        <f t="shared" si="181"/>
        <v>0.1598182346515409</v>
      </c>
      <c r="W244" s="1">
        <f t="shared" si="181"/>
        <v>0.7666296084912052</v>
      </c>
      <c r="X244" s="1">
        <f t="shared" si="181"/>
        <v>2.1364509758136148</v>
      </c>
      <c r="Y244" s="1">
        <f t="shared" si="181"/>
        <v>4.275130091603107</v>
      </c>
      <c r="Z244" s="1">
        <f t="shared" si="181"/>
        <v>5.980774801006736</v>
      </c>
    </row>
    <row r="245" spans="1:26" ht="15">
      <c r="A245" s="5" t="s">
        <v>151</v>
      </c>
      <c r="B245" s="1">
        <f aca="true" t="shared" si="182" ref="B245:Z245">(B228-$J$8)*$L$8</f>
        <v>0</v>
      </c>
      <c r="C245" s="1">
        <f t="shared" si="182"/>
        <v>6.486877021927878</v>
      </c>
      <c r="D245" s="1">
        <f t="shared" si="182"/>
        <v>11.689557811961107</v>
      </c>
      <c r="E245" s="1">
        <f t="shared" si="182"/>
        <v>14.936226499574051</v>
      </c>
      <c r="F245" s="1">
        <f t="shared" si="182"/>
        <v>16.351975862049365</v>
      </c>
      <c r="G245" s="1">
        <f t="shared" si="182"/>
        <v>16.32201530505709</v>
      </c>
      <c r="H245" s="1">
        <f t="shared" si="182"/>
        <v>15.184628176335037</v>
      </c>
      <c r="I245" s="1">
        <f t="shared" si="182"/>
        <v>13.19036945846009</v>
      </c>
      <c r="J245" s="1">
        <f t="shared" si="182"/>
        <v>10.54188747761943</v>
      </c>
      <c r="K245" s="1">
        <f t="shared" si="182"/>
        <v>7.426756450156472</v>
      </c>
      <c r="L245" s="1">
        <f t="shared" si="182"/>
        <v>4.028797009419955</v>
      </c>
      <c r="M245" s="1">
        <f t="shared" si="182"/>
        <v>0.5247253663222542</v>
      </c>
      <c r="N245" s="1">
        <f t="shared" si="182"/>
        <v>-2.925005980645406</v>
      </c>
      <c r="O245" s="1">
        <f t="shared" si="182"/>
        <v>-6.184507545768807</v>
      </c>
      <c r="P245" s="1">
        <f t="shared" si="182"/>
        <v>-9.145896672860003</v>
      </c>
      <c r="Q245" s="1">
        <f t="shared" si="182"/>
        <v>-11.726384761915785</v>
      </c>
      <c r="R245" s="1">
        <f t="shared" si="182"/>
        <v>-13.859373110590091</v>
      </c>
      <c r="S245" s="1">
        <f t="shared" si="182"/>
        <v>-15.480667138780916</v>
      </c>
      <c r="T245" s="1">
        <f t="shared" si="182"/>
        <v>-16.51046035133979</v>
      </c>
      <c r="U245" s="1">
        <f t="shared" si="182"/>
        <v>-16.830744599329652</v>
      </c>
      <c r="V245" s="1">
        <f t="shared" si="182"/>
        <v>-16.258327501768093</v>
      </c>
      <c r="W245" s="1">
        <f t="shared" si="182"/>
        <v>-14.52196486830575</v>
      </c>
      <c r="X245" s="1">
        <f t="shared" si="182"/>
        <v>-11.285144328679745</v>
      </c>
      <c r="Y245" s="1">
        <f t="shared" si="182"/>
        <v>-6.329403035141455</v>
      </c>
      <c r="Z245" s="1">
        <f t="shared" si="182"/>
        <v>0</v>
      </c>
    </row>
    <row r="246" ht="15.75" thickBot="1"/>
    <row r="247" ht="16.5" thickBot="1">
      <c r="A247" s="73" t="s">
        <v>302</v>
      </c>
    </row>
    <row r="248" spans="1:26" ht="15.75">
      <c r="A248" s="54" t="s">
        <v>152</v>
      </c>
      <c r="B248" s="1">
        <f>B129+($I$9-$F$10)*1-($J$9-$G$10)*0</f>
        <v>3.376165973154184</v>
      </c>
      <c r="C248" s="1">
        <f>C129+($I$9-$F$10)*1-($J$9-$G$10)*0</f>
        <v>3.1568687967935554</v>
      </c>
      <c r="D248" s="1">
        <f aca="true" t="shared" si="183" ref="D248:Z248">D129+($I$9-$F$10)*1-($J$9-$G$10)*0</f>
        <v>2.9681767425150873</v>
      </c>
      <c r="E248" s="1">
        <f t="shared" si="183"/>
        <v>2.8408597073997828</v>
      </c>
      <c r="F248" s="1">
        <f t="shared" si="183"/>
        <v>2.782052255813388</v>
      </c>
      <c r="G248" s="1">
        <f t="shared" si="183"/>
        <v>2.783321566418672</v>
      </c>
      <c r="H248" s="1">
        <f t="shared" si="183"/>
        <v>2.8307067685645357</v>
      </c>
      <c r="I248" s="1">
        <f t="shared" si="183"/>
        <v>2.9104722464252464</v>
      </c>
      <c r="J248" s="1">
        <f t="shared" si="183"/>
        <v>3.011172844493898</v>
      </c>
      <c r="K248" s="1">
        <f t="shared" si="183"/>
        <v>3.1238424732722407</v>
      </c>
      <c r="L248" s="1">
        <f t="shared" si="183"/>
        <v>3.241543628716969</v>
      </c>
      <c r="M248" s="1">
        <f t="shared" si="183"/>
        <v>3.358868995678637</v>
      </c>
      <c r="N248" s="1">
        <f t="shared" si="183"/>
        <v>3.471582702685315</v>
      </c>
      <c r="O248" s="1">
        <f t="shared" si="183"/>
        <v>3.576388124233313</v>
      </c>
      <c r="P248" s="1">
        <f t="shared" si="183"/>
        <v>3.670740532105944</v>
      </c>
      <c r="Q248" s="1">
        <f t="shared" si="183"/>
        <v>3.752628411448083</v>
      </c>
      <c r="R248" s="1">
        <f t="shared" si="183"/>
        <v>3.820279679565464</v>
      </c>
      <c r="S248" s="1">
        <f t="shared" si="183"/>
        <v>3.8717740602954085</v>
      </c>
      <c r="T248" s="1">
        <f t="shared" si="183"/>
        <v>3.904545680663921</v>
      </c>
      <c r="U248" s="1">
        <f t="shared" si="183"/>
        <v>3.9147515189617947</v>
      </c>
      <c r="V248" s="1">
        <f t="shared" si="183"/>
        <v>3.8965161875776033</v>
      </c>
      <c r="W248" s="1">
        <f t="shared" si="183"/>
        <v>3.841312599308263</v>
      </c>
      <c r="X248" s="1">
        <f t="shared" si="183"/>
        <v>3.7386356745098857</v>
      </c>
      <c r="Y248" s="1">
        <f t="shared" si="183"/>
        <v>3.581019841811637</v>
      </c>
      <c r="Z248" s="1">
        <f t="shared" si="183"/>
        <v>3.376165973154184</v>
      </c>
    </row>
    <row r="249" spans="1:26" ht="15.75">
      <c r="A249" s="49" t="s">
        <v>153</v>
      </c>
      <c r="B249" s="1">
        <f aca="true" t="shared" si="184" ref="B249:Z249">B130+($I$11-$F$8)*0+($J$11-$G$8)*1</f>
        <v>0</v>
      </c>
      <c r="C249" s="1">
        <f t="shared" si="184"/>
        <v>-0.3856516452134102</v>
      </c>
      <c r="D249" s="1">
        <f t="shared" si="184"/>
        <v>-0.6835592903004637</v>
      </c>
      <c r="E249" s="1">
        <f t="shared" si="184"/>
        <v>-0.8628469877010319</v>
      </c>
      <c r="F249" s="1">
        <f t="shared" si="184"/>
        <v>-0.939049908902124</v>
      </c>
      <c r="G249" s="1">
        <f t="shared" si="184"/>
        <v>-0.9374513138414646</v>
      </c>
      <c r="H249" s="1">
        <f t="shared" si="184"/>
        <v>-0.876312152021899</v>
      </c>
      <c r="I249" s="1">
        <f t="shared" si="184"/>
        <v>-0.7671614126417692</v>
      </c>
      <c r="J249" s="1">
        <f t="shared" si="184"/>
        <v>-0.6188678108949697</v>
      </c>
      <c r="K249" s="1">
        <f t="shared" si="184"/>
        <v>-0.4403047164193066</v>
      </c>
      <c r="L249" s="1">
        <f t="shared" si="184"/>
        <v>-0.2411756347314864</v>
      </c>
      <c r="M249" s="1">
        <f t="shared" si="184"/>
        <v>-0.03169873327513728</v>
      </c>
      <c r="N249" s="1">
        <f t="shared" si="184"/>
        <v>0.17816908679270171</v>
      </c>
      <c r="O249" s="1">
        <f t="shared" si="184"/>
        <v>0.3794861545682413</v>
      </c>
      <c r="P249" s="1">
        <f t="shared" si="184"/>
        <v>0.5647637902040447</v>
      </c>
      <c r="Q249" s="1">
        <f t="shared" si="184"/>
        <v>0.7279618178139349</v>
      </c>
      <c r="R249" s="1">
        <f t="shared" si="184"/>
        <v>0.864047978066887</v>
      </c>
      <c r="S249" s="1">
        <f t="shared" si="184"/>
        <v>0.9681919483099986</v>
      </c>
      <c r="T249" s="1">
        <f t="shared" si="184"/>
        <v>1.0346525572962935</v>
      </c>
      <c r="U249" s="1">
        <f t="shared" si="184"/>
        <v>1.055372053306696</v>
      </c>
      <c r="V249" s="1">
        <f t="shared" si="184"/>
        <v>1.0183581863252207</v>
      </c>
      <c r="W249" s="1">
        <f t="shared" si="184"/>
        <v>0.9065367265935175</v>
      </c>
      <c r="X249" s="1">
        <f t="shared" si="184"/>
        <v>0.6999436094880701</v>
      </c>
      <c r="Y249" s="1">
        <f t="shared" si="184"/>
        <v>0.3885000316162033</v>
      </c>
      <c r="Z249" s="1">
        <f t="shared" si="184"/>
        <v>0</v>
      </c>
    </row>
    <row r="250" spans="1:26" ht="15.75">
      <c r="A250" s="66" t="s">
        <v>154</v>
      </c>
      <c r="B250" s="1">
        <f>B131</f>
        <v>-0.8383164594895051</v>
      </c>
      <c r="C250" s="1">
        <f aca="true" t="shared" si="185" ref="C250:Z250">C131</f>
        <v>-0.8061872299282755</v>
      </c>
      <c r="D250" s="1">
        <f t="shared" si="185"/>
        <v>-0.6162157640972974</v>
      </c>
      <c r="E250" s="1">
        <f t="shared" si="185"/>
        <v>-0.35326269776763575</v>
      </c>
      <c r="F250" s="1">
        <f t="shared" si="185"/>
        <v>-0.1012937022555094</v>
      </c>
      <c r="G250" s="1">
        <f t="shared" si="185"/>
        <v>0.10157818267675797</v>
      </c>
      <c r="H250" s="1">
        <f t="shared" si="185"/>
        <v>0.24937093035252494</v>
      </c>
      <c r="I250" s="1">
        <f t="shared" si="185"/>
        <v>0.34892175763139566</v>
      </c>
      <c r="J250" s="1">
        <f t="shared" si="185"/>
        <v>0.4100197715583308</v>
      </c>
      <c r="K250" s="1">
        <f t="shared" si="185"/>
        <v>0.44140165428474915</v>
      </c>
      <c r="L250" s="1">
        <f t="shared" si="185"/>
        <v>0.4496674740577876</v>
      </c>
      <c r="M250" s="1">
        <f t="shared" si="185"/>
        <v>0.4396793072777854</v>
      </c>
      <c r="N250" s="1">
        <f t="shared" si="185"/>
        <v>0.41532009506875667</v>
      </c>
      <c r="O250" s="1">
        <f t="shared" si="185"/>
        <v>0.37987120317201595</v>
      </c>
      <c r="P250" s="1">
        <f t="shared" si="185"/>
        <v>0.3359036985213297</v>
      </c>
      <c r="Q250" s="1">
        <f t="shared" si="185"/>
        <v>0.2849756637872663</v>
      </c>
      <c r="R250" s="1">
        <f t="shared" si="185"/>
        <v>0.22734352167916494</v>
      </c>
      <c r="S250" s="1">
        <f t="shared" si="185"/>
        <v>0.16163440403634982</v>
      </c>
      <c r="T250" s="1">
        <f t="shared" si="185"/>
        <v>0.08435703114811102</v>
      </c>
      <c r="U250" s="1">
        <f t="shared" si="185"/>
        <v>-0.010703192307210388</v>
      </c>
      <c r="V250" s="1">
        <f t="shared" si="185"/>
        <v>-0.13273735666056644</v>
      </c>
      <c r="W250" s="1">
        <f t="shared" si="185"/>
        <v>-0.292055268111589</v>
      </c>
      <c r="X250" s="1">
        <f t="shared" si="185"/>
        <v>-0.4909489475083286</v>
      </c>
      <c r="Y250" s="1">
        <f t="shared" si="185"/>
        <v>-0.6999046115235548</v>
      </c>
      <c r="Z250" s="1">
        <f t="shared" si="185"/>
        <v>-0.8353916473352112</v>
      </c>
    </row>
    <row r="251" spans="1:26" ht="15.75">
      <c r="A251" s="49" t="s">
        <v>155</v>
      </c>
      <c r="B251" s="1">
        <f>B132</f>
        <v>-1.5410280096436246</v>
      </c>
      <c r="C251" s="1">
        <f aca="true" t="shared" si="186" ref="C251:Z251">C132</f>
        <v>-1.346165014372694</v>
      </c>
      <c r="D251" s="1">
        <f t="shared" si="186"/>
        <v>-0.9127418141137136</v>
      </c>
      <c r="E251" s="1">
        <f t="shared" si="186"/>
        <v>-0.4707202756748407</v>
      </c>
      <c r="F251" s="1">
        <f t="shared" si="186"/>
        <v>-0.12748892204425144</v>
      </c>
      <c r="G251" s="1">
        <f t="shared" si="186"/>
        <v>0.128012179577897</v>
      </c>
      <c r="H251" s="1">
        <f t="shared" si="186"/>
        <v>0.3291589143502043</v>
      </c>
      <c r="I251" s="1">
        <f t="shared" si="186"/>
        <v>0.49400876255568393</v>
      </c>
      <c r="J251" s="1">
        <f t="shared" si="186"/>
        <v>0.6263635497368832</v>
      </c>
      <c r="K251" s="1">
        <f t="shared" si="186"/>
        <v>0.7237522134105614</v>
      </c>
      <c r="L251" s="1">
        <f t="shared" si="186"/>
        <v>0.7830197349078163</v>
      </c>
      <c r="M251" s="1">
        <f t="shared" si="186"/>
        <v>0.8032661881883691</v>
      </c>
      <c r="N251" s="1">
        <f t="shared" si="186"/>
        <v>0.7868771410336508</v>
      </c>
      <c r="O251" s="1">
        <f t="shared" si="186"/>
        <v>0.7389015358009591</v>
      </c>
      <c r="P251" s="1">
        <f t="shared" si="186"/>
        <v>0.6653146786141535</v>
      </c>
      <c r="Q251" s="1">
        <f t="shared" si="186"/>
        <v>0.5711146317756753</v>
      </c>
      <c r="R251" s="1">
        <f t="shared" si="186"/>
        <v>0.4588523478171345</v>
      </c>
      <c r="S251" s="1">
        <f t="shared" si="186"/>
        <v>0.3274888158447026</v>
      </c>
      <c r="T251" s="1">
        <f t="shared" si="186"/>
        <v>0.17121955035056557</v>
      </c>
      <c r="U251" s="1">
        <f t="shared" si="186"/>
        <v>-0.02173394695887885</v>
      </c>
      <c r="V251" s="1">
        <f t="shared" si="186"/>
        <v>-0.26931327738060473</v>
      </c>
      <c r="W251" s="1">
        <f t="shared" si="186"/>
        <v>-0.5904829600255179</v>
      </c>
      <c r="X251" s="1">
        <f t="shared" si="186"/>
        <v>-0.9821746634473796</v>
      </c>
      <c r="Y251" s="1">
        <f t="shared" si="186"/>
        <v>-1.3627833687812927</v>
      </c>
      <c r="Z251" s="1">
        <f t="shared" si="186"/>
        <v>-1.5356514988979597</v>
      </c>
    </row>
    <row r="252" spans="1:26" ht="15.75">
      <c r="A252" s="49" t="s">
        <v>156</v>
      </c>
      <c r="B252" s="1">
        <f>B133</f>
        <v>-0.2289170973541932</v>
      </c>
      <c r="C252" s="1">
        <f aca="true" t="shared" si="187" ref="C252:Z252">C133</f>
        <v>0.4631485152816174</v>
      </c>
      <c r="D252" s="1">
        <f t="shared" si="187"/>
        <v>0.9363442531180051</v>
      </c>
      <c r="E252" s="1">
        <f t="shared" si="187"/>
        <v>1.021155614250963</v>
      </c>
      <c r="F252" s="1">
        <f t="shared" si="187"/>
        <v>0.8755414143543927</v>
      </c>
      <c r="G252" s="1">
        <f t="shared" si="187"/>
        <v>0.6638651061074912</v>
      </c>
      <c r="H252" s="1">
        <f t="shared" si="187"/>
        <v>0.4635060101030809</v>
      </c>
      <c r="I252" s="1">
        <f t="shared" si="187"/>
        <v>0.2989089710011564</v>
      </c>
      <c r="J252" s="1">
        <f t="shared" si="187"/>
        <v>0.17088222900264616</v>
      </c>
      <c r="K252" s="1">
        <f t="shared" si="187"/>
        <v>0.07175364821411669</v>
      </c>
      <c r="L252" s="1">
        <f t="shared" si="187"/>
        <v>-0.006245140112760242</v>
      </c>
      <c r="M252" s="1">
        <f t="shared" si="187"/>
        <v>-0.06788097370013631</v>
      </c>
      <c r="N252" s="1">
        <f t="shared" si="187"/>
        <v>-0.11576249713999827</v>
      </c>
      <c r="O252" s="1">
        <f t="shared" si="187"/>
        <v>-0.1523378789788985</v>
      </c>
      <c r="P252" s="1">
        <f t="shared" si="187"/>
        <v>-0.18093899121961995</v>
      </c>
      <c r="Q252" s="1">
        <f t="shared" si="187"/>
        <v>-0.20586318460623187</v>
      </c>
      <c r="R252" s="1">
        <f t="shared" si="187"/>
        <v>-0.232507903755356</v>
      </c>
      <c r="S252" s="1">
        <f t="shared" si="187"/>
        <v>-0.2679353378020231</v>
      </c>
      <c r="T252" s="1">
        <f t="shared" si="187"/>
        <v>-0.3214332416927283</v>
      </c>
      <c r="U252" s="1">
        <f t="shared" si="187"/>
        <v>-0.4043057518672032</v>
      </c>
      <c r="V252" s="1">
        <f t="shared" si="187"/>
        <v>-0.5266272068264283</v>
      </c>
      <c r="W252" s="1">
        <f t="shared" si="187"/>
        <v>-0.6827845745195691</v>
      </c>
      <c r="X252" s="1">
        <f t="shared" si="187"/>
        <v>-0.8085536698418292</v>
      </c>
      <c r="Y252" s="1">
        <f t="shared" si="187"/>
        <v>-0.7238353768110708</v>
      </c>
      <c r="Z252" s="1">
        <f t="shared" si="187"/>
        <v>-0.241440809789776</v>
      </c>
    </row>
    <row r="253" spans="1:26" ht="16.5" thickBot="1">
      <c r="A253" s="67" t="s">
        <v>157</v>
      </c>
      <c r="B253" s="1">
        <f>B134</f>
        <v>0.03170257103075857</v>
      </c>
      <c r="C253" s="1">
        <f aca="true" t="shared" si="188" ref="C253:Z253">C134</f>
        <v>1.3539434366378824</v>
      </c>
      <c r="D253" s="1">
        <f t="shared" si="188"/>
        <v>1.8057747463593745</v>
      </c>
      <c r="E253" s="1">
        <f t="shared" si="188"/>
        <v>1.5141939339376538</v>
      </c>
      <c r="F253" s="1">
        <f t="shared" si="188"/>
        <v>1.1151147175329577</v>
      </c>
      <c r="G253" s="1">
        <f t="shared" si="188"/>
        <v>0.8498402769861114</v>
      </c>
      <c r="H253" s="1">
        <f t="shared" si="188"/>
        <v>0.6888816797331452</v>
      </c>
      <c r="I253" s="1">
        <f t="shared" si="188"/>
        <v>0.5647651387523036</v>
      </c>
      <c r="J253" s="1">
        <f t="shared" si="188"/>
        <v>0.43871138403855536</v>
      </c>
      <c r="K253" s="1">
        <f t="shared" si="188"/>
        <v>0.29902816464800586</v>
      </c>
      <c r="L253" s="1">
        <f t="shared" si="188"/>
        <v>0.15016162068633981</v>
      </c>
      <c r="M253" s="1">
        <f t="shared" si="188"/>
        <v>0.004208441653091807</v>
      </c>
      <c r="N253" s="1">
        <f t="shared" si="188"/>
        <v>-0.12644578079395224</v>
      </c>
      <c r="O253" s="1">
        <f t="shared" si="188"/>
        <v>-0.2348478547008086</v>
      </c>
      <c r="P253" s="1">
        <f t="shared" si="188"/>
        <v>-0.32140780994108653</v>
      </c>
      <c r="Q253" s="1">
        <f t="shared" si="188"/>
        <v>-0.3927195967580641</v>
      </c>
      <c r="R253" s="1">
        <f t="shared" si="188"/>
        <v>-0.4601414164813592</v>
      </c>
      <c r="S253" s="1">
        <f t="shared" si="188"/>
        <v>-0.5395803375596725</v>
      </c>
      <c r="T253" s="1">
        <f t="shared" si="188"/>
        <v>-0.651747956352471</v>
      </c>
      <c r="U253" s="1">
        <f t="shared" si="188"/>
        <v>-0.8209753828493157</v>
      </c>
      <c r="V253" s="1">
        <f t="shared" si="188"/>
        <v>-1.0666970720018525</v>
      </c>
      <c r="W253" s="1">
        <f t="shared" si="188"/>
        <v>-1.3671722259092571</v>
      </c>
      <c r="X253" s="1">
        <f t="shared" si="188"/>
        <v>-1.5552556496667023</v>
      </c>
      <c r="Y253" s="1">
        <f t="shared" si="188"/>
        <v>-1.2030995325983391</v>
      </c>
      <c r="Z253" s="1">
        <f t="shared" si="188"/>
        <v>0.005528955536227134</v>
      </c>
    </row>
    <row r="254" spans="1:26" ht="15">
      <c r="A254" s="5" t="s">
        <v>348</v>
      </c>
      <c r="B254" s="1">
        <f aca="true" t="shared" si="189" ref="B254:Z254">(B248-B129)^2+(B249-B130)^2</f>
        <v>2.5096548203018445</v>
      </c>
      <c r="C254" s="1">
        <f t="shared" si="189"/>
        <v>2.5096548203018445</v>
      </c>
      <c r="D254" s="1">
        <f t="shared" si="189"/>
        <v>2.5096548203018445</v>
      </c>
      <c r="E254" s="1">
        <f t="shared" si="189"/>
        <v>2.5096548203018445</v>
      </c>
      <c r="F254" s="1">
        <f t="shared" si="189"/>
        <v>2.5096548203018445</v>
      </c>
      <c r="G254" s="1">
        <f t="shared" si="189"/>
        <v>2.5096548203018445</v>
      </c>
      <c r="H254" s="1">
        <f t="shared" si="189"/>
        <v>2.5096548203018445</v>
      </c>
      <c r="I254" s="1">
        <f t="shared" si="189"/>
        <v>2.5096548203018445</v>
      </c>
      <c r="J254" s="1">
        <f t="shared" si="189"/>
        <v>2.5096548203018445</v>
      </c>
      <c r="K254" s="1">
        <f t="shared" si="189"/>
        <v>2.5096548203018445</v>
      </c>
      <c r="L254" s="1">
        <f t="shared" si="189"/>
        <v>2.5096548203018445</v>
      </c>
      <c r="M254" s="1">
        <f t="shared" si="189"/>
        <v>2.5096548203018445</v>
      </c>
      <c r="N254" s="1">
        <f t="shared" si="189"/>
        <v>2.5096548203018445</v>
      </c>
      <c r="O254" s="1">
        <f t="shared" si="189"/>
        <v>2.5096548203018445</v>
      </c>
      <c r="P254" s="1">
        <f t="shared" si="189"/>
        <v>2.5096548203018445</v>
      </c>
      <c r="Q254" s="1">
        <f t="shared" si="189"/>
        <v>2.5096548203018445</v>
      </c>
      <c r="R254" s="1">
        <f t="shared" si="189"/>
        <v>2.5096548203018445</v>
      </c>
      <c r="S254" s="1">
        <f t="shared" si="189"/>
        <v>2.5096548203018445</v>
      </c>
      <c r="T254" s="1">
        <f t="shared" si="189"/>
        <v>2.5096548203018445</v>
      </c>
      <c r="U254" s="1">
        <f t="shared" si="189"/>
        <v>2.5096548203018445</v>
      </c>
      <c r="V254" s="1">
        <f t="shared" si="189"/>
        <v>2.5096548203018445</v>
      </c>
      <c r="W254" s="1">
        <f t="shared" si="189"/>
        <v>2.5096548203018445</v>
      </c>
      <c r="X254" s="1">
        <f t="shared" si="189"/>
        <v>2.5096548203018445</v>
      </c>
      <c r="Y254" s="1">
        <f t="shared" si="189"/>
        <v>2.5096548203018445</v>
      </c>
      <c r="Z254" s="1">
        <f t="shared" si="189"/>
        <v>2.5096548203018445</v>
      </c>
    </row>
    <row r="255" ht="15.75" thickBot="1"/>
    <row r="256" spans="1:26" ht="15.75">
      <c r="A256" s="68" t="s">
        <v>158</v>
      </c>
      <c r="B256" s="1">
        <f>$K$11*B252</f>
        <v>0</v>
      </c>
      <c r="C256" s="1">
        <f aca="true" t="shared" si="190" ref="C256:Z256">$K$11*C252</f>
        <v>0</v>
      </c>
      <c r="D256" s="1">
        <f t="shared" si="190"/>
        <v>0</v>
      </c>
      <c r="E256" s="1">
        <f t="shared" si="190"/>
        <v>0</v>
      </c>
      <c r="F256" s="1">
        <f t="shared" si="190"/>
        <v>0</v>
      </c>
      <c r="G256" s="1">
        <f t="shared" si="190"/>
        <v>0</v>
      </c>
      <c r="H256" s="1">
        <f t="shared" si="190"/>
        <v>0</v>
      </c>
      <c r="I256" s="1">
        <f t="shared" si="190"/>
        <v>0</v>
      </c>
      <c r="J256" s="1">
        <f t="shared" si="190"/>
        <v>0</v>
      </c>
      <c r="K256" s="1">
        <f t="shared" si="190"/>
        <v>0</v>
      </c>
      <c r="L256" s="1">
        <f t="shared" si="190"/>
        <v>0</v>
      </c>
      <c r="M256" s="1">
        <f t="shared" si="190"/>
        <v>0</v>
      </c>
      <c r="N256" s="1">
        <f t="shared" si="190"/>
        <v>0</v>
      </c>
      <c r="O256" s="1">
        <f t="shared" si="190"/>
        <v>0</v>
      </c>
      <c r="P256" s="1">
        <f t="shared" si="190"/>
        <v>0</v>
      </c>
      <c r="Q256" s="1">
        <f t="shared" si="190"/>
        <v>0</v>
      </c>
      <c r="R256" s="1">
        <f t="shared" si="190"/>
        <v>0</v>
      </c>
      <c r="S256" s="1">
        <f t="shared" si="190"/>
        <v>0</v>
      </c>
      <c r="T256" s="1">
        <f t="shared" si="190"/>
        <v>0</v>
      </c>
      <c r="U256" s="1">
        <f t="shared" si="190"/>
        <v>0</v>
      </c>
      <c r="V256" s="1">
        <f t="shared" si="190"/>
        <v>0</v>
      </c>
      <c r="W256" s="1">
        <f t="shared" si="190"/>
        <v>0</v>
      </c>
      <c r="X256" s="1">
        <f t="shared" si="190"/>
        <v>0</v>
      </c>
      <c r="Y256" s="1">
        <f t="shared" si="190"/>
        <v>0</v>
      </c>
      <c r="Z256" s="1">
        <f t="shared" si="190"/>
        <v>0</v>
      </c>
    </row>
    <row r="257" spans="1:26" ht="15.75">
      <c r="A257" s="66" t="s">
        <v>159</v>
      </c>
      <c r="B257" s="1">
        <f>$K$11*B253</f>
        <v>0</v>
      </c>
      <c r="C257" s="1">
        <f aca="true" t="shared" si="191" ref="C257:Z257">$K$11*C253</f>
        <v>0</v>
      </c>
      <c r="D257" s="1">
        <f t="shared" si="191"/>
        <v>0</v>
      </c>
      <c r="E257" s="1">
        <f t="shared" si="191"/>
        <v>0</v>
      </c>
      <c r="F257" s="1">
        <f t="shared" si="191"/>
        <v>0</v>
      </c>
      <c r="G257" s="1">
        <f t="shared" si="191"/>
        <v>0</v>
      </c>
      <c r="H257" s="1">
        <f t="shared" si="191"/>
        <v>0</v>
      </c>
      <c r="I257" s="1">
        <f t="shared" si="191"/>
        <v>0</v>
      </c>
      <c r="J257" s="1">
        <f t="shared" si="191"/>
        <v>0</v>
      </c>
      <c r="K257" s="1">
        <f t="shared" si="191"/>
        <v>0</v>
      </c>
      <c r="L257" s="1">
        <f t="shared" si="191"/>
        <v>0</v>
      </c>
      <c r="M257" s="1">
        <f t="shared" si="191"/>
        <v>0</v>
      </c>
      <c r="N257" s="1">
        <f t="shared" si="191"/>
        <v>0</v>
      </c>
      <c r="O257" s="1">
        <f t="shared" si="191"/>
        <v>0</v>
      </c>
      <c r="P257" s="1">
        <f t="shared" si="191"/>
        <v>0</v>
      </c>
      <c r="Q257" s="1">
        <f t="shared" si="191"/>
        <v>0</v>
      </c>
      <c r="R257" s="1">
        <f t="shared" si="191"/>
        <v>0</v>
      </c>
      <c r="S257" s="1">
        <f t="shared" si="191"/>
        <v>0</v>
      </c>
      <c r="T257" s="1">
        <f t="shared" si="191"/>
        <v>0</v>
      </c>
      <c r="U257" s="1">
        <f t="shared" si="191"/>
        <v>0</v>
      </c>
      <c r="V257" s="1">
        <f t="shared" si="191"/>
        <v>0</v>
      </c>
      <c r="W257" s="1">
        <f t="shared" si="191"/>
        <v>0</v>
      </c>
      <c r="X257" s="1">
        <f t="shared" si="191"/>
        <v>0</v>
      </c>
      <c r="Y257" s="1">
        <f t="shared" si="191"/>
        <v>0</v>
      </c>
      <c r="Z257" s="1">
        <f t="shared" si="191"/>
        <v>0</v>
      </c>
    </row>
    <row r="258" spans="1:26" ht="16.5" thickBot="1">
      <c r="A258" s="67" t="s">
        <v>160</v>
      </c>
      <c r="B258" s="1">
        <f>$M$11*0</f>
        <v>0</v>
      </c>
      <c r="C258" s="1">
        <f aca="true" t="shared" si="192" ref="C258:Z258">$M$11*0</f>
        <v>0</v>
      </c>
      <c r="D258" s="1">
        <f t="shared" si="192"/>
        <v>0</v>
      </c>
      <c r="E258" s="1">
        <f t="shared" si="192"/>
        <v>0</v>
      </c>
      <c r="F258" s="1">
        <f t="shared" si="192"/>
        <v>0</v>
      </c>
      <c r="G258" s="1">
        <f t="shared" si="192"/>
        <v>0</v>
      </c>
      <c r="H258" s="1">
        <f t="shared" si="192"/>
        <v>0</v>
      </c>
      <c r="I258" s="1">
        <f t="shared" si="192"/>
        <v>0</v>
      </c>
      <c r="J258" s="1">
        <f t="shared" si="192"/>
        <v>0</v>
      </c>
      <c r="K258" s="1">
        <f t="shared" si="192"/>
        <v>0</v>
      </c>
      <c r="L258" s="1">
        <f t="shared" si="192"/>
        <v>0</v>
      </c>
      <c r="M258" s="1">
        <f t="shared" si="192"/>
        <v>0</v>
      </c>
      <c r="N258" s="1">
        <f t="shared" si="192"/>
        <v>0</v>
      </c>
      <c r="O258" s="1">
        <f t="shared" si="192"/>
        <v>0</v>
      </c>
      <c r="P258" s="1">
        <f t="shared" si="192"/>
        <v>0</v>
      </c>
      <c r="Q258" s="1">
        <f t="shared" si="192"/>
        <v>0</v>
      </c>
      <c r="R258" s="1">
        <f t="shared" si="192"/>
        <v>0</v>
      </c>
      <c r="S258" s="1">
        <f t="shared" si="192"/>
        <v>0</v>
      </c>
      <c r="T258" s="1">
        <f t="shared" si="192"/>
        <v>0</v>
      </c>
      <c r="U258" s="1">
        <f t="shared" si="192"/>
        <v>0</v>
      </c>
      <c r="V258" s="1">
        <f t="shared" si="192"/>
        <v>0</v>
      </c>
      <c r="W258" s="1">
        <f t="shared" si="192"/>
        <v>0</v>
      </c>
      <c r="X258" s="1">
        <f t="shared" si="192"/>
        <v>0</v>
      </c>
      <c r="Y258" s="1">
        <f t="shared" si="192"/>
        <v>0</v>
      </c>
      <c r="Z258" s="1">
        <f t="shared" si="192"/>
        <v>0</v>
      </c>
    </row>
    <row r="259" ht="16.5" thickBot="1">
      <c r="A259" s="48"/>
    </row>
    <row r="260" spans="1:26" ht="15.75">
      <c r="A260" s="68" t="s">
        <v>161</v>
      </c>
      <c r="B260" s="1">
        <f>B250*B256+B251*B257+0</f>
        <v>0</v>
      </c>
      <c r="C260" s="1">
        <f aca="true" t="shared" si="193" ref="C260:Z260">C250*C256+C251*C257+0</f>
        <v>0</v>
      </c>
      <c r="D260" s="1">
        <f t="shared" si="193"/>
        <v>0</v>
      </c>
      <c r="E260" s="1">
        <f t="shared" si="193"/>
        <v>0</v>
      </c>
      <c r="F260" s="1">
        <f t="shared" si="193"/>
        <v>0</v>
      </c>
      <c r="G260" s="1">
        <f t="shared" si="193"/>
        <v>0</v>
      </c>
      <c r="H260" s="1">
        <f t="shared" si="193"/>
        <v>0</v>
      </c>
      <c r="I260" s="1">
        <f t="shared" si="193"/>
        <v>0</v>
      </c>
      <c r="J260" s="1">
        <f t="shared" si="193"/>
        <v>0</v>
      </c>
      <c r="K260" s="1">
        <f t="shared" si="193"/>
        <v>0</v>
      </c>
      <c r="L260" s="1">
        <f t="shared" si="193"/>
        <v>0</v>
      </c>
      <c r="M260" s="1">
        <f t="shared" si="193"/>
        <v>0</v>
      </c>
      <c r="N260" s="1">
        <f t="shared" si="193"/>
        <v>0</v>
      </c>
      <c r="O260" s="1">
        <f t="shared" si="193"/>
        <v>0</v>
      </c>
      <c r="P260" s="1">
        <f t="shared" si="193"/>
        <v>0</v>
      </c>
      <c r="Q260" s="1">
        <f t="shared" si="193"/>
        <v>0</v>
      </c>
      <c r="R260" s="1">
        <f t="shared" si="193"/>
        <v>0</v>
      </c>
      <c r="S260" s="1">
        <f t="shared" si="193"/>
        <v>0</v>
      </c>
      <c r="T260" s="1">
        <f t="shared" si="193"/>
        <v>0</v>
      </c>
      <c r="U260" s="1">
        <f t="shared" si="193"/>
        <v>0</v>
      </c>
      <c r="V260" s="1">
        <f t="shared" si="193"/>
        <v>0</v>
      </c>
      <c r="W260" s="1">
        <f t="shared" si="193"/>
        <v>0</v>
      </c>
      <c r="X260" s="1">
        <f t="shared" si="193"/>
        <v>0</v>
      </c>
      <c r="Y260" s="1">
        <f t="shared" si="193"/>
        <v>0</v>
      </c>
      <c r="Z260" s="1">
        <f t="shared" si="193"/>
        <v>0</v>
      </c>
    </row>
    <row r="261" spans="1:26" ht="15.75">
      <c r="A261" s="66" t="s">
        <v>162</v>
      </c>
      <c r="B261" s="1">
        <f>$L$11*B251</f>
        <v>0</v>
      </c>
      <c r="C261" s="1">
        <f aca="true" t="shared" si="194" ref="C261:Z261">$L$11*C251</f>
        <v>0</v>
      </c>
      <c r="D261" s="1">
        <f t="shared" si="194"/>
        <v>0</v>
      </c>
      <c r="E261" s="1">
        <f t="shared" si="194"/>
        <v>0</v>
      </c>
      <c r="F261" s="1">
        <f t="shared" si="194"/>
        <v>0</v>
      </c>
      <c r="G261" s="1">
        <f t="shared" si="194"/>
        <v>0</v>
      </c>
      <c r="H261" s="1">
        <f t="shared" si="194"/>
        <v>0</v>
      </c>
      <c r="I261" s="1">
        <f t="shared" si="194"/>
        <v>0</v>
      </c>
      <c r="J261" s="1">
        <f t="shared" si="194"/>
        <v>0</v>
      </c>
      <c r="K261" s="1">
        <f t="shared" si="194"/>
        <v>0</v>
      </c>
      <c r="L261" s="1">
        <f t="shared" si="194"/>
        <v>0</v>
      </c>
      <c r="M261" s="1">
        <f t="shared" si="194"/>
        <v>0</v>
      </c>
      <c r="N261" s="1">
        <f t="shared" si="194"/>
        <v>0</v>
      </c>
      <c r="O261" s="1">
        <f t="shared" si="194"/>
        <v>0</v>
      </c>
      <c r="P261" s="1">
        <f t="shared" si="194"/>
        <v>0</v>
      </c>
      <c r="Q261" s="1">
        <f t="shared" si="194"/>
        <v>0</v>
      </c>
      <c r="R261" s="1">
        <f t="shared" si="194"/>
        <v>0</v>
      </c>
      <c r="S261" s="1">
        <f t="shared" si="194"/>
        <v>0</v>
      </c>
      <c r="T261" s="1">
        <f t="shared" si="194"/>
        <v>0</v>
      </c>
      <c r="U261" s="1">
        <f t="shared" si="194"/>
        <v>0</v>
      </c>
      <c r="V261" s="1">
        <f t="shared" si="194"/>
        <v>0</v>
      </c>
      <c r="W261" s="1">
        <f t="shared" si="194"/>
        <v>0</v>
      </c>
      <c r="X261" s="1">
        <f t="shared" si="194"/>
        <v>0</v>
      </c>
      <c r="Y261" s="1">
        <f t="shared" si="194"/>
        <v>0</v>
      </c>
      <c r="Z261" s="1">
        <f t="shared" si="194"/>
        <v>0</v>
      </c>
    </row>
    <row r="262" spans="1:26" ht="16.5" thickBot="1">
      <c r="A262" s="67" t="s">
        <v>163</v>
      </c>
      <c r="B262" s="1">
        <f>SUM(B260:B261)</f>
        <v>0</v>
      </c>
      <c r="C262" s="1">
        <f aca="true" t="shared" si="195" ref="C262:Z262">SUM(C260:C261)</f>
        <v>0</v>
      </c>
      <c r="D262" s="1">
        <f t="shared" si="195"/>
        <v>0</v>
      </c>
      <c r="E262" s="1">
        <f t="shared" si="195"/>
        <v>0</v>
      </c>
      <c r="F262" s="1">
        <f t="shared" si="195"/>
        <v>0</v>
      </c>
      <c r="G262" s="1">
        <f t="shared" si="195"/>
        <v>0</v>
      </c>
      <c r="H262" s="1">
        <f t="shared" si="195"/>
        <v>0</v>
      </c>
      <c r="I262" s="1">
        <f t="shared" si="195"/>
        <v>0</v>
      </c>
      <c r="J262" s="1">
        <f t="shared" si="195"/>
        <v>0</v>
      </c>
      <c r="K262" s="1">
        <f t="shared" si="195"/>
        <v>0</v>
      </c>
      <c r="L262" s="1">
        <f t="shared" si="195"/>
        <v>0</v>
      </c>
      <c r="M262" s="1">
        <f t="shared" si="195"/>
        <v>0</v>
      </c>
      <c r="N262" s="1">
        <f t="shared" si="195"/>
        <v>0</v>
      </c>
      <c r="O262" s="1">
        <f t="shared" si="195"/>
        <v>0</v>
      </c>
      <c r="P262" s="1">
        <f t="shared" si="195"/>
        <v>0</v>
      </c>
      <c r="Q262" s="1">
        <f t="shared" si="195"/>
        <v>0</v>
      </c>
      <c r="R262" s="1">
        <f t="shared" si="195"/>
        <v>0</v>
      </c>
      <c r="S262" s="1">
        <f t="shared" si="195"/>
        <v>0</v>
      </c>
      <c r="T262" s="1">
        <f t="shared" si="195"/>
        <v>0</v>
      </c>
      <c r="U262" s="1">
        <f t="shared" si="195"/>
        <v>0</v>
      </c>
      <c r="V262" s="1">
        <f t="shared" si="195"/>
        <v>0</v>
      </c>
      <c r="W262" s="1">
        <f t="shared" si="195"/>
        <v>0</v>
      </c>
      <c r="X262" s="1">
        <f t="shared" si="195"/>
        <v>0</v>
      </c>
      <c r="Y262" s="1">
        <f t="shared" si="195"/>
        <v>0</v>
      </c>
      <c r="Z262" s="1">
        <f t="shared" si="195"/>
        <v>0</v>
      </c>
    </row>
    <row r="263" ht="15.75" thickBot="1">
      <c r="A263" s="74"/>
    </row>
    <row r="264" spans="1:26" ht="16.5" thickBot="1">
      <c r="A264" s="69" t="s">
        <v>164</v>
      </c>
      <c r="B264" s="1">
        <f>($K$11*(B250^2+B251^2)/2)+0</f>
        <v>0</v>
      </c>
      <c r="C264" s="1">
        <f aca="true" t="shared" si="196" ref="C264:Z264">($K$11*(C250^2+C251^2)/2)+0</f>
        <v>0</v>
      </c>
      <c r="D264" s="1">
        <f t="shared" si="196"/>
        <v>0</v>
      </c>
      <c r="E264" s="1">
        <f t="shared" si="196"/>
        <v>0</v>
      </c>
      <c r="F264" s="1">
        <f t="shared" si="196"/>
        <v>0</v>
      </c>
      <c r="G264" s="1">
        <f t="shared" si="196"/>
        <v>0</v>
      </c>
      <c r="H264" s="1">
        <f t="shared" si="196"/>
        <v>0</v>
      </c>
      <c r="I264" s="1">
        <f t="shared" si="196"/>
        <v>0</v>
      </c>
      <c r="J264" s="1">
        <f t="shared" si="196"/>
        <v>0</v>
      </c>
      <c r="K264" s="1">
        <f t="shared" si="196"/>
        <v>0</v>
      </c>
      <c r="L264" s="1">
        <f t="shared" si="196"/>
        <v>0</v>
      </c>
      <c r="M264" s="1">
        <f t="shared" si="196"/>
        <v>0</v>
      </c>
      <c r="N264" s="1">
        <f t="shared" si="196"/>
        <v>0</v>
      </c>
      <c r="O264" s="1">
        <f t="shared" si="196"/>
        <v>0</v>
      </c>
      <c r="P264" s="1">
        <f t="shared" si="196"/>
        <v>0</v>
      </c>
      <c r="Q264" s="1">
        <f t="shared" si="196"/>
        <v>0</v>
      </c>
      <c r="R264" s="1">
        <f t="shared" si="196"/>
        <v>0</v>
      </c>
      <c r="S264" s="1">
        <f t="shared" si="196"/>
        <v>0</v>
      </c>
      <c r="T264" s="1">
        <f t="shared" si="196"/>
        <v>0</v>
      </c>
      <c r="U264" s="1">
        <f t="shared" si="196"/>
        <v>0</v>
      </c>
      <c r="V264" s="1">
        <f t="shared" si="196"/>
        <v>0</v>
      </c>
      <c r="W264" s="1">
        <f t="shared" si="196"/>
        <v>0</v>
      </c>
      <c r="X264" s="1">
        <f t="shared" si="196"/>
        <v>0</v>
      </c>
      <c r="Y264" s="1">
        <f t="shared" si="196"/>
        <v>0</v>
      </c>
      <c r="Z264" s="1">
        <f t="shared" si="196"/>
        <v>0</v>
      </c>
    </row>
    <row r="265" spans="1:26" ht="15">
      <c r="A265" s="5" t="s">
        <v>165</v>
      </c>
      <c r="B265" s="1">
        <f>(B249-$J$11)*$L$11</f>
        <v>0</v>
      </c>
      <c r="C265" s="1">
        <f aca="true" t="shared" si="197" ref="C265:Z265">(C249-$J$11)*$L$11</f>
        <v>0</v>
      </c>
      <c r="D265" s="1">
        <f t="shared" si="197"/>
        <v>0</v>
      </c>
      <c r="E265" s="1">
        <f t="shared" si="197"/>
        <v>0</v>
      </c>
      <c r="F265" s="1">
        <f t="shared" si="197"/>
        <v>0</v>
      </c>
      <c r="G265" s="1">
        <f t="shared" si="197"/>
        <v>0</v>
      </c>
      <c r="H265" s="1">
        <f t="shared" si="197"/>
        <v>0</v>
      </c>
      <c r="I265" s="1">
        <f t="shared" si="197"/>
        <v>0</v>
      </c>
      <c r="J265" s="1">
        <f t="shared" si="197"/>
        <v>0</v>
      </c>
      <c r="K265" s="1">
        <f t="shared" si="197"/>
        <v>0</v>
      </c>
      <c r="L265" s="1">
        <f t="shared" si="197"/>
        <v>0</v>
      </c>
      <c r="M265" s="1">
        <f t="shared" si="197"/>
        <v>0</v>
      </c>
      <c r="N265" s="1">
        <f t="shared" si="197"/>
        <v>0</v>
      </c>
      <c r="O265" s="1">
        <f t="shared" si="197"/>
        <v>0</v>
      </c>
      <c r="P265" s="1">
        <f t="shared" si="197"/>
        <v>0</v>
      </c>
      <c r="Q265" s="1">
        <f t="shared" si="197"/>
        <v>0</v>
      </c>
      <c r="R265" s="1">
        <f t="shared" si="197"/>
        <v>0</v>
      </c>
      <c r="S265" s="1">
        <f t="shared" si="197"/>
        <v>0</v>
      </c>
      <c r="T265" s="1">
        <f t="shared" si="197"/>
        <v>0</v>
      </c>
      <c r="U265" s="1">
        <f t="shared" si="197"/>
        <v>0</v>
      </c>
      <c r="V265" s="1">
        <f t="shared" si="197"/>
        <v>0</v>
      </c>
      <c r="W265" s="1">
        <f t="shared" si="197"/>
        <v>0</v>
      </c>
      <c r="X265" s="1">
        <f t="shared" si="197"/>
        <v>0</v>
      </c>
      <c r="Y265" s="1">
        <f t="shared" si="197"/>
        <v>0</v>
      </c>
      <c r="Z265" s="1">
        <f t="shared" si="197"/>
        <v>0</v>
      </c>
    </row>
    <row r="267" ht="16.5" thickBot="1">
      <c r="A267" s="75" t="s">
        <v>303</v>
      </c>
    </row>
    <row r="268" ht="15.75">
      <c r="A268" s="54" t="s">
        <v>304</v>
      </c>
    </row>
    <row r="269" ht="15.75">
      <c r="A269" s="49" t="s">
        <v>305</v>
      </c>
    </row>
    <row r="270" spans="1:26" ht="15.75">
      <c r="A270" s="66" t="s">
        <v>306</v>
      </c>
      <c r="B270" s="1">
        <f>B131</f>
        <v>-0.8383164594895051</v>
      </c>
      <c r="C270" s="1">
        <f aca="true" t="shared" si="198" ref="C270:Z270">C131</f>
        <v>-0.8061872299282755</v>
      </c>
      <c r="D270" s="1">
        <f t="shared" si="198"/>
        <v>-0.6162157640972974</v>
      </c>
      <c r="E270" s="1">
        <f t="shared" si="198"/>
        <v>-0.35326269776763575</v>
      </c>
      <c r="F270" s="1">
        <f t="shared" si="198"/>
        <v>-0.1012937022555094</v>
      </c>
      <c r="G270" s="1">
        <f t="shared" si="198"/>
        <v>0.10157818267675797</v>
      </c>
      <c r="H270" s="1">
        <f t="shared" si="198"/>
        <v>0.24937093035252494</v>
      </c>
      <c r="I270" s="1">
        <f t="shared" si="198"/>
        <v>0.34892175763139566</v>
      </c>
      <c r="J270" s="1">
        <f t="shared" si="198"/>
        <v>0.4100197715583308</v>
      </c>
      <c r="K270" s="1">
        <f t="shared" si="198"/>
        <v>0.44140165428474915</v>
      </c>
      <c r="L270" s="1">
        <f t="shared" si="198"/>
        <v>0.4496674740577876</v>
      </c>
      <c r="M270" s="1">
        <f t="shared" si="198"/>
        <v>0.4396793072777854</v>
      </c>
      <c r="N270" s="1">
        <f t="shared" si="198"/>
        <v>0.41532009506875667</v>
      </c>
      <c r="O270" s="1">
        <f t="shared" si="198"/>
        <v>0.37987120317201595</v>
      </c>
      <c r="P270" s="1">
        <f t="shared" si="198"/>
        <v>0.3359036985213297</v>
      </c>
      <c r="Q270" s="1">
        <f t="shared" si="198"/>
        <v>0.2849756637872663</v>
      </c>
      <c r="R270" s="1">
        <f t="shared" si="198"/>
        <v>0.22734352167916494</v>
      </c>
      <c r="S270" s="1">
        <f t="shared" si="198"/>
        <v>0.16163440403634982</v>
      </c>
      <c r="T270" s="1">
        <f t="shared" si="198"/>
        <v>0.08435703114811102</v>
      </c>
      <c r="U270" s="1">
        <f t="shared" si="198"/>
        <v>-0.010703192307210388</v>
      </c>
      <c r="V270" s="1">
        <f t="shared" si="198"/>
        <v>-0.13273735666056644</v>
      </c>
      <c r="W270" s="1">
        <f t="shared" si="198"/>
        <v>-0.292055268111589</v>
      </c>
      <c r="X270" s="1">
        <f t="shared" si="198"/>
        <v>-0.4909489475083286</v>
      </c>
      <c r="Y270" s="1">
        <f t="shared" si="198"/>
        <v>-0.6999046115235548</v>
      </c>
      <c r="Z270" s="1">
        <f t="shared" si="198"/>
        <v>-0.8353916473352112</v>
      </c>
    </row>
    <row r="271" spans="1:26" ht="15.75">
      <c r="A271" s="49" t="s">
        <v>307</v>
      </c>
      <c r="B271" s="1">
        <f>B132</f>
        <v>-1.5410280096436246</v>
      </c>
      <c r="C271" s="1">
        <f aca="true" t="shared" si="199" ref="C271:Z271">C132</f>
        <v>-1.346165014372694</v>
      </c>
      <c r="D271" s="1">
        <f t="shared" si="199"/>
        <v>-0.9127418141137136</v>
      </c>
      <c r="E271" s="1">
        <f t="shared" si="199"/>
        <v>-0.4707202756748407</v>
      </c>
      <c r="F271" s="1">
        <f t="shared" si="199"/>
        <v>-0.12748892204425144</v>
      </c>
      <c r="G271" s="1">
        <f t="shared" si="199"/>
        <v>0.128012179577897</v>
      </c>
      <c r="H271" s="1">
        <f t="shared" si="199"/>
        <v>0.3291589143502043</v>
      </c>
      <c r="I271" s="1">
        <f t="shared" si="199"/>
        <v>0.49400876255568393</v>
      </c>
      <c r="J271" s="1">
        <f t="shared" si="199"/>
        <v>0.6263635497368832</v>
      </c>
      <c r="K271" s="1">
        <f t="shared" si="199"/>
        <v>0.7237522134105614</v>
      </c>
      <c r="L271" s="1">
        <f t="shared" si="199"/>
        <v>0.7830197349078163</v>
      </c>
      <c r="M271" s="1">
        <f t="shared" si="199"/>
        <v>0.8032661881883691</v>
      </c>
      <c r="N271" s="1">
        <f t="shared" si="199"/>
        <v>0.7868771410336508</v>
      </c>
      <c r="O271" s="1">
        <f t="shared" si="199"/>
        <v>0.7389015358009591</v>
      </c>
      <c r="P271" s="1">
        <f t="shared" si="199"/>
        <v>0.6653146786141535</v>
      </c>
      <c r="Q271" s="1">
        <f t="shared" si="199"/>
        <v>0.5711146317756753</v>
      </c>
      <c r="R271" s="1">
        <f t="shared" si="199"/>
        <v>0.4588523478171345</v>
      </c>
      <c r="S271" s="1">
        <f t="shared" si="199"/>
        <v>0.3274888158447026</v>
      </c>
      <c r="T271" s="1">
        <f t="shared" si="199"/>
        <v>0.17121955035056557</v>
      </c>
      <c r="U271" s="1">
        <f t="shared" si="199"/>
        <v>-0.02173394695887885</v>
      </c>
      <c r="V271" s="1">
        <f t="shared" si="199"/>
        <v>-0.26931327738060473</v>
      </c>
      <c r="W271" s="1">
        <f t="shared" si="199"/>
        <v>-0.5904829600255179</v>
      </c>
      <c r="X271" s="1">
        <f t="shared" si="199"/>
        <v>-0.9821746634473796</v>
      </c>
      <c r="Y271" s="1">
        <f t="shared" si="199"/>
        <v>-1.3627833687812927</v>
      </c>
      <c r="Z271" s="1">
        <f t="shared" si="199"/>
        <v>-1.5356514988979597</v>
      </c>
    </row>
    <row r="272" ht="15.75">
      <c r="A272" s="49" t="s">
        <v>308</v>
      </c>
    </row>
    <row r="273" ht="16.5" thickBot="1">
      <c r="A273" s="67" t="s">
        <v>309</v>
      </c>
    </row>
    <row r="274" spans="1:26" ht="15.75">
      <c r="A274" s="76" t="s">
        <v>166</v>
      </c>
      <c r="B274" s="1">
        <f>$H$13+$I$13*SIN($J$13*B20)+($J$13*COS($K$13))^$L$13</f>
        <v>3.2348559015689564</v>
      </c>
      <c r="C274" s="1">
        <f aca="true" t="shared" si="200" ref="C274:Z274">$H$13+$I$13*SIN($J$13*C20)+($J$13*COS($K$13))^$L$13</f>
        <v>5.721968619234081</v>
      </c>
      <c r="D274" s="1">
        <f t="shared" si="200"/>
        <v>5.512699198001705</v>
      </c>
      <c r="E274" s="1">
        <f t="shared" si="200"/>
        <v>2.816317059104205</v>
      </c>
      <c r="F274" s="1">
        <f t="shared" si="200"/>
        <v>0.32920434143907995</v>
      </c>
      <c r="G274" s="1">
        <f t="shared" si="200"/>
        <v>0.5384737626714555</v>
      </c>
      <c r="H274" s="1">
        <f t="shared" si="200"/>
        <v>3.234855901568956</v>
      </c>
      <c r="I274" s="1">
        <f t="shared" si="200"/>
        <v>5.721968619234081</v>
      </c>
      <c r="J274" s="1">
        <f t="shared" si="200"/>
        <v>5.512699198001705</v>
      </c>
      <c r="K274" s="1">
        <f t="shared" si="200"/>
        <v>2.8163170591042026</v>
      </c>
      <c r="L274" s="1">
        <f t="shared" si="200"/>
        <v>0.3292043414390804</v>
      </c>
      <c r="M274" s="1">
        <f t="shared" si="200"/>
        <v>0.5384737626714551</v>
      </c>
      <c r="N274" s="1">
        <f t="shared" si="200"/>
        <v>3.2348559015689577</v>
      </c>
      <c r="O274" s="1">
        <f t="shared" si="200"/>
        <v>5.7219686192340795</v>
      </c>
      <c r="P274" s="1">
        <f t="shared" si="200"/>
        <v>5.512699198001705</v>
      </c>
      <c r="Q274" s="1">
        <f t="shared" si="200"/>
        <v>2.8163170591042035</v>
      </c>
      <c r="R274" s="1">
        <f t="shared" si="200"/>
        <v>0.3292043414390782</v>
      </c>
      <c r="S274" s="1">
        <f t="shared" si="200"/>
        <v>0.5384737626714551</v>
      </c>
      <c r="T274" s="1">
        <f t="shared" si="200"/>
        <v>3.2348559015689515</v>
      </c>
      <c r="U274" s="1">
        <f t="shared" si="200"/>
        <v>5.721968619234083</v>
      </c>
      <c r="V274" s="1">
        <f t="shared" si="200"/>
        <v>5.512699198001705</v>
      </c>
      <c r="W274" s="1">
        <f t="shared" si="200"/>
        <v>2.8163170591042093</v>
      </c>
      <c r="X274" s="1">
        <f t="shared" si="200"/>
        <v>0.3292043414390786</v>
      </c>
      <c r="Y274" s="1">
        <f t="shared" si="200"/>
        <v>0.5384737626714546</v>
      </c>
      <c r="Z274" s="1">
        <f t="shared" si="200"/>
        <v>3.234855901568951</v>
      </c>
    </row>
    <row r="275" spans="1:26" ht="15.75">
      <c r="A275" s="55" t="s">
        <v>167</v>
      </c>
      <c r="B275" s="1">
        <f>$H$14+$I$14*SIN($J$14*B20)+$J$14*(COS($K$14))^$L$14</f>
        <v>4.044871646009613</v>
      </c>
      <c r="C275" s="1">
        <f aca="true" t="shared" si="201" ref="C275:Z275">$H$14+$I$14*SIN($J$14*C20)+$J$14*(COS($K$14))^$L$14</f>
        <v>5.426489384478513</v>
      </c>
      <c r="D275" s="1">
        <f t="shared" si="201"/>
        <v>5.9374588030328725</v>
      </c>
      <c r="E275" s="1">
        <f t="shared" si="201"/>
        <v>5.278460946241442</v>
      </c>
      <c r="F275" s="1">
        <f t="shared" si="201"/>
        <v>3.835527821037838</v>
      </c>
      <c r="G275" s="1">
        <f t="shared" si="201"/>
        <v>2.453910082568936</v>
      </c>
      <c r="H275" s="1">
        <f t="shared" si="201"/>
        <v>1.9429406640145774</v>
      </c>
      <c r="I275" s="1">
        <f t="shared" si="201"/>
        <v>2.6019385208060077</v>
      </c>
      <c r="J275" s="1">
        <f t="shared" si="201"/>
        <v>4.044871646009613</v>
      </c>
      <c r="K275" s="1">
        <f t="shared" si="201"/>
        <v>5.426489384478515</v>
      </c>
      <c r="L275" s="1">
        <f t="shared" si="201"/>
        <v>5.9374588030328725</v>
      </c>
      <c r="M275" s="1">
        <f t="shared" si="201"/>
        <v>5.278460946241443</v>
      </c>
      <c r="N275" s="1">
        <f t="shared" si="201"/>
        <v>3.8355278210378376</v>
      </c>
      <c r="O275" s="1">
        <f t="shared" si="201"/>
        <v>2.453910082568938</v>
      </c>
      <c r="P275" s="1">
        <f t="shared" si="201"/>
        <v>1.9429406640145774</v>
      </c>
      <c r="Q275" s="1">
        <f t="shared" si="201"/>
        <v>2.6019385208060095</v>
      </c>
      <c r="R275" s="1">
        <f t="shared" si="201"/>
        <v>4.044871646009613</v>
      </c>
      <c r="S275" s="1">
        <f t="shared" si="201"/>
        <v>5.426489384478515</v>
      </c>
      <c r="T275" s="1">
        <f t="shared" si="201"/>
        <v>5.937458803032873</v>
      </c>
      <c r="U275" s="1">
        <f t="shared" si="201"/>
        <v>5.278460946241441</v>
      </c>
      <c r="V275" s="1">
        <f t="shared" si="201"/>
        <v>3.835527821037838</v>
      </c>
      <c r="W275" s="1">
        <f t="shared" si="201"/>
        <v>2.453910082568936</v>
      </c>
      <c r="X275" s="1">
        <f t="shared" si="201"/>
        <v>1.9429406640145774</v>
      </c>
      <c r="Y275" s="1">
        <f t="shared" si="201"/>
        <v>2.601938520806007</v>
      </c>
      <c r="Z275" s="1">
        <f t="shared" si="201"/>
        <v>4.044871646009612</v>
      </c>
    </row>
    <row r="276" spans="1:26" ht="15.75">
      <c r="A276" s="55" t="s">
        <v>310</v>
      </c>
      <c r="B276" s="1">
        <f>$H$15+$I$15*SIN($J$15*B20)+($J$15*COS($K$15))^$L$15</f>
        <v>0.45842511239575295</v>
      </c>
      <c r="C276" s="1">
        <f aca="true" t="shared" si="202" ref="C276:Z276">$H$15+$I$15*SIN($J$15*C20)+($J$15*COS($K$15))^$L$15</f>
        <v>0.47411348829593214</v>
      </c>
      <c r="D276" s="1">
        <f t="shared" si="202"/>
        <v>0.48969868385014126</v>
      </c>
      <c r="E276" s="1">
        <f t="shared" si="202"/>
        <v>0.5050846111451852</v>
      </c>
      <c r="F276" s="1">
        <f t="shared" si="202"/>
        <v>0.5201764108229501</v>
      </c>
      <c r="G276" s="1">
        <f t="shared" si="202"/>
        <v>0.5348810369198896</v>
      </c>
      <c r="H276" s="1">
        <f t="shared" si="202"/>
        <v>0.549107830526332</v>
      </c>
      <c r="I276" s="1">
        <f t="shared" si="202"/>
        <v>0.5627690787288046</v>
      </c>
      <c r="J276" s="1">
        <f t="shared" si="202"/>
        <v>0.5757805553893129</v>
      </c>
      <c r="K276" s="1">
        <f t="shared" si="202"/>
        <v>0.5880620404274901</v>
      </c>
      <c r="L276" s="1">
        <f t="shared" si="202"/>
        <v>0.5995378144040675</v>
      </c>
      <c r="M276" s="1">
        <f t="shared" si="202"/>
        <v>0.6101371253563974</v>
      </c>
      <c r="N276" s="1">
        <f t="shared" si="202"/>
        <v>0.6197946250078303</v>
      </c>
      <c r="O276" s="1">
        <f t="shared" si="202"/>
        <v>0.6284507716615704</v>
      </c>
      <c r="P276" s="1">
        <f t="shared" si="202"/>
        <v>0.6360521972950366</v>
      </c>
      <c r="Q276" s="1">
        <f t="shared" si="202"/>
        <v>0.642552036591468</v>
      </c>
      <c r="R276" s="1">
        <f t="shared" si="202"/>
        <v>0.6479102158801864</v>
      </c>
      <c r="S276" s="1">
        <f t="shared" si="202"/>
        <v>0.6520937002041011</v>
      </c>
      <c r="T276" s="1">
        <f t="shared" si="202"/>
        <v>0.6550766969912057</v>
      </c>
      <c r="U276" s="1">
        <f t="shared" si="202"/>
        <v>0.6568408150743607</v>
      </c>
      <c r="V276" s="1">
        <f t="shared" si="202"/>
        <v>0.6573751780789543</v>
      </c>
      <c r="W276" s="1">
        <f t="shared" si="202"/>
        <v>0.6566764914793699</v>
      </c>
      <c r="X276" s="1">
        <f t="shared" si="202"/>
        <v>0.6547490629108306</v>
      </c>
      <c r="Y276" s="1">
        <f t="shared" si="202"/>
        <v>0.6516047756113963</v>
      </c>
      <c r="Z276" s="1">
        <f t="shared" si="202"/>
        <v>0.6472630151578498</v>
      </c>
    </row>
    <row r="277" spans="1:26" ht="15.75">
      <c r="A277" s="37" t="s">
        <v>311</v>
      </c>
      <c r="B277" s="1">
        <f>B274*B270+B275*B271+B276*0</f>
        <v>-8.945093448276143</v>
      </c>
      <c r="C277" s="1">
        <f aca="true" t="shared" si="203" ref="C277:Z277">C274*C270+C275*C271+C276*0</f>
        <v>-11.917928191126633</v>
      </c>
      <c r="D277" s="1">
        <f t="shared" si="203"/>
        <v>-8.816379067640842</v>
      </c>
      <c r="E277" s="1">
        <f t="shared" si="203"/>
        <v>-3.4795783538218172</v>
      </c>
      <c r="F277" s="1">
        <f t="shared" si="203"/>
        <v>-0.5223336339178017</v>
      </c>
      <c r="G277" s="1">
        <f t="shared" si="203"/>
        <v>0.3688275643891091</v>
      </c>
      <c r="H277" s="1">
        <f t="shared" si="203"/>
        <v>1.4462152653445097</v>
      </c>
      <c r="I277" s="1">
        <f t="shared" si="203"/>
        <v>3.281899776644188</v>
      </c>
      <c r="J277" s="1">
        <f t="shared" si="203"/>
        <v>4.793875828259104</v>
      </c>
      <c r="K277" s="1">
        <f t="shared" si="203"/>
        <v>5.170560711944194</v>
      </c>
      <c r="L277" s="1">
        <f t="shared" si="203"/>
        <v>4.797179902640648</v>
      </c>
      <c r="M277" s="1">
        <f t="shared" si="203"/>
        <v>4.476764974747184</v>
      </c>
      <c r="N277" s="1">
        <f t="shared" si="203"/>
        <v>4.361589826746631</v>
      </c>
      <c r="O277" s="1">
        <f t="shared" si="203"/>
        <v>3.986809032628615</v>
      </c>
      <c r="P277" s="1">
        <f t="shared" si="203"/>
        <v>3.144402992889569</v>
      </c>
      <c r="Q277" s="1">
        <f t="shared" si="203"/>
        <v>2.2885869835666917</v>
      </c>
      <c r="R277" s="1">
        <f t="shared" si="203"/>
        <v>1.9308413257252985</v>
      </c>
      <c r="S277" s="1">
        <f t="shared" si="203"/>
        <v>1.8641504684353294</v>
      </c>
      <c r="T277" s="1">
        <f t="shared" si="203"/>
        <v>1.2894918665285986</v>
      </c>
      <c r="U277" s="1">
        <f t="shared" si="203"/>
        <v>-0.1759651207376104</v>
      </c>
      <c r="V277" s="1">
        <f t="shared" si="203"/>
        <v>-1.7646996875757608</v>
      </c>
      <c r="W277" s="1">
        <f t="shared" si="203"/>
        <v>-2.27151232297569</v>
      </c>
      <c r="X277" s="1">
        <f t="shared" si="203"/>
        <v>-2.069929617721434</v>
      </c>
      <c r="Y277" s="1">
        <f t="shared" si="203"/>
        <v>-3.9227588124240147</v>
      </c>
      <c r="Z277" s="1">
        <f t="shared" si="203"/>
        <v>-8.913884806548234</v>
      </c>
    </row>
    <row r="279" ht="15.75">
      <c r="A279" s="29" t="s">
        <v>168</v>
      </c>
    </row>
    <row r="280" ht="15.75">
      <c r="A280" s="26"/>
    </row>
    <row r="281" ht="15.75">
      <c r="A281" s="37" t="s">
        <v>312</v>
      </c>
    </row>
    <row r="282" ht="15.75">
      <c r="A282" s="26"/>
    </row>
    <row r="283" ht="15.75">
      <c r="A283" s="26" t="s">
        <v>423</v>
      </c>
    </row>
    <row r="284" spans="1:26" ht="15.75">
      <c r="A284" s="77" t="s">
        <v>313</v>
      </c>
      <c r="B284" s="1">
        <f>B256+B274</f>
        <v>3.2348559015689564</v>
      </c>
      <c r="C284" s="1">
        <f aca="true" t="shared" si="204" ref="C284:Z284">C256+C274</f>
        <v>5.721968619234081</v>
      </c>
      <c r="D284" s="1">
        <f t="shared" si="204"/>
        <v>5.512699198001705</v>
      </c>
      <c r="E284" s="1">
        <f t="shared" si="204"/>
        <v>2.816317059104205</v>
      </c>
      <c r="F284" s="1">
        <f t="shared" si="204"/>
        <v>0.32920434143907995</v>
      </c>
      <c r="G284" s="1">
        <f t="shared" si="204"/>
        <v>0.5384737626714555</v>
      </c>
      <c r="H284" s="1">
        <f t="shared" si="204"/>
        <v>3.234855901568956</v>
      </c>
      <c r="I284" s="1">
        <f t="shared" si="204"/>
        <v>5.721968619234081</v>
      </c>
      <c r="J284" s="1">
        <f t="shared" si="204"/>
        <v>5.512699198001705</v>
      </c>
      <c r="K284" s="1">
        <f t="shared" si="204"/>
        <v>2.8163170591042026</v>
      </c>
      <c r="L284" s="1">
        <f t="shared" si="204"/>
        <v>0.3292043414390804</v>
      </c>
      <c r="M284" s="1">
        <f t="shared" si="204"/>
        <v>0.5384737626714551</v>
      </c>
      <c r="N284" s="1">
        <f t="shared" si="204"/>
        <v>3.2348559015689577</v>
      </c>
      <c r="O284" s="1">
        <f t="shared" si="204"/>
        <v>5.7219686192340795</v>
      </c>
      <c r="P284" s="1">
        <f t="shared" si="204"/>
        <v>5.512699198001705</v>
      </c>
      <c r="Q284" s="1">
        <f t="shared" si="204"/>
        <v>2.8163170591042035</v>
      </c>
      <c r="R284" s="1">
        <f t="shared" si="204"/>
        <v>0.3292043414390782</v>
      </c>
      <c r="S284" s="1">
        <f t="shared" si="204"/>
        <v>0.5384737626714551</v>
      </c>
      <c r="T284" s="1">
        <f t="shared" si="204"/>
        <v>3.2348559015689515</v>
      </c>
      <c r="U284" s="1">
        <f t="shared" si="204"/>
        <v>5.721968619234083</v>
      </c>
      <c r="V284" s="1">
        <f t="shared" si="204"/>
        <v>5.512699198001705</v>
      </c>
      <c r="W284" s="1">
        <f t="shared" si="204"/>
        <v>2.8163170591042093</v>
      </c>
      <c r="X284" s="1">
        <f t="shared" si="204"/>
        <v>0.3292043414390786</v>
      </c>
      <c r="Y284" s="1">
        <f t="shared" si="204"/>
        <v>0.5384737626714546</v>
      </c>
      <c r="Z284" s="1">
        <f t="shared" si="204"/>
        <v>3.234855901568951</v>
      </c>
    </row>
    <row r="285" spans="1:26" ht="15.75">
      <c r="A285" s="49" t="s">
        <v>314</v>
      </c>
      <c r="B285" s="1">
        <f>B257+B275+$L$11</f>
        <v>4.044871646009613</v>
      </c>
      <c r="C285" s="1">
        <f aca="true" t="shared" si="205" ref="C285:Z285">C257+C275+$L$11</f>
        <v>5.426489384478513</v>
      </c>
      <c r="D285" s="1">
        <f t="shared" si="205"/>
        <v>5.9374588030328725</v>
      </c>
      <c r="E285" s="1">
        <f t="shared" si="205"/>
        <v>5.278460946241442</v>
      </c>
      <c r="F285" s="1">
        <f t="shared" si="205"/>
        <v>3.835527821037838</v>
      </c>
      <c r="G285" s="1">
        <f t="shared" si="205"/>
        <v>2.453910082568936</v>
      </c>
      <c r="H285" s="1">
        <f t="shared" si="205"/>
        <v>1.9429406640145774</v>
      </c>
      <c r="I285" s="1">
        <f t="shared" si="205"/>
        <v>2.6019385208060077</v>
      </c>
      <c r="J285" s="1">
        <f t="shared" si="205"/>
        <v>4.044871646009613</v>
      </c>
      <c r="K285" s="1">
        <f t="shared" si="205"/>
        <v>5.426489384478515</v>
      </c>
      <c r="L285" s="1">
        <f t="shared" si="205"/>
        <v>5.9374588030328725</v>
      </c>
      <c r="M285" s="1">
        <f t="shared" si="205"/>
        <v>5.278460946241443</v>
      </c>
      <c r="N285" s="1">
        <f t="shared" si="205"/>
        <v>3.8355278210378376</v>
      </c>
      <c r="O285" s="1">
        <f t="shared" si="205"/>
        <v>2.453910082568938</v>
      </c>
      <c r="P285" s="1">
        <f t="shared" si="205"/>
        <v>1.9429406640145774</v>
      </c>
      <c r="Q285" s="1">
        <f t="shared" si="205"/>
        <v>2.6019385208060095</v>
      </c>
      <c r="R285" s="1">
        <f t="shared" si="205"/>
        <v>4.044871646009613</v>
      </c>
      <c r="S285" s="1">
        <f t="shared" si="205"/>
        <v>5.426489384478515</v>
      </c>
      <c r="T285" s="1">
        <f t="shared" si="205"/>
        <v>5.937458803032873</v>
      </c>
      <c r="U285" s="1">
        <f t="shared" si="205"/>
        <v>5.278460946241441</v>
      </c>
      <c r="V285" s="1">
        <f t="shared" si="205"/>
        <v>3.835527821037838</v>
      </c>
      <c r="W285" s="1">
        <f t="shared" si="205"/>
        <v>2.453910082568936</v>
      </c>
      <c r="X285" s="1">
        <f t="shared" si="205"/>
        <v>1.9429406640145774</v>
      </c>
      <c r="Y285" s="1">
        <f t="shared" si="205"/>
        <v>2.601938520806007</v>
      </c>
      <c r="Z285" s="1">
        <f t="shared" si="205"/>
        <v>4.044871646009612</v>
      </c>
    </row>
    <row r="286" spans="1:26" ht="15.75">
      <c r="A286" s="49" t="s">
        <v>315</v>
      </c>
      <c r="B286" s="1">
        <f>B276</f>
        <v>0.45842511239575295</v>
      </c>
      <c r="C286" s="1">
        <f aca="true" t="shared" si="206" ref="C286:Z286">C276</f>
        <v>0.47411348829593214</v>
      </c>
      <c r="D286" s="1">
        <f t="shared" si="206"/>
        <v>0.48969868385014126</v>
      </c>
      <c r="E286" s="1">
        <f t="shared" si="206"/>
        <v>0.5050846111451852</v>
      </c>
      <c r="F286" s="1">
        <f t="shared" si="206"/>
        <v>0.5201764108229501</v>
      </c>
      <c r="G286" s="1">
        <f t="shared" si="206"/>
        <v>0.5348810369198896</v>
      </c>
      <c r="H286" s="1">
        <f t="shared" si="206"/>
        <v>0.549107830526332</v>
      </c>
      <c r="I286" s="1">
        <f t="shared" si="206"/>
        <v>0.5627690787288046</v>
      </c>
      <c r="J286" s="1">
        <f t="shared" si="206"/>
        <v>0.5757805553893129</v>
      </c>
      <c r="K286" s="1">
        <f t="shared" si="206"/>
        <v>0.5880620404274901</v>
      </c>
      <c r="L286" s="1">
        <f t="shared" si="206"/>
        <v>0.5995378144040675</v>
      </c>
      <c r="M286" s="1">
        <f t="shared" si="206"/>
        <v>0.6101371253563974</v>
      </c>
      <c r="N286" s="1">
        <f t="shared" si="206"/>
        <v>0.6197946250078303</v>
      </c>
      <c r="O286" s="1">
        <f t="shared" si="206"/>
        <v>0.6284507716615704</v>
      </c>
      <c r="P286" s="1">
        <f t="shared" si="206"/>
        <v>0.6360521972950366</v>
      </c>
      <c r="Q286" s="1">
        <f t="shared" si="206"/>
        <v>0.642552036591468</v>
      </c>
      <c r="R286" s="1">
        <f t="shared" si="206"/>
        <v>0.6479102158801864</v>
      </c>
      <c r="S286" s="1">
        <f t="shared" si="206"/>
        <v>0.6520937002041011</v>
      </c>
      <c r="T286" s="1">
        <f t="shared" si="206"/>
        <v>0.6550766969912057</v>
      </c>
      <c r="U286" s="1">
        <f t="shared" si="206"/>
        <v>0.6568408150743607</v>
      </c>
      <c r="V286" s="1">
        <f t="shared" si="206"/>
        <v>0.6573751780789543</v>
      </c>
      <c r="W286" s="1">
        <f t="shared" si="206"/>
        <v>0.6566764914793699</v>
      </c>
      <c r="X286" s="1">
        <f t="shared" si="206"/>
        <v>0.6547490629108306</v>
      </c>
      <c r="Y286" s="1">
        <f t="shared" si="206"/>
        <v>0.6516047756113963</v>
      </c>
      <c r="Z286" s="1">
        <f t="shared" si="206"/>
        <v>0.6472630151578498</v>
      </c>
    </row>
    <row r="288" spans="1:26" ht="16.5" thickBot="1">
      <c r="A288" s="50" t="s">
        <v>316</v>
      </c>
      <c r="B288" s="1">
        <f aca="true" t="shared" si="207" ref="B288:Z288">B284*B131+B285*B132+B286*0</f>
        <v>-8.945093448276143</v>
      </c>
      <c r="C288" s="1">
        <f t="shared" si="207"/>
        <v>-11.917928191126633</v>
      </c>
      <c r="D288" s="1">
        <f t="shared" si="207"/>
        <v>-8.816379067640842</v>
      </c>
      <c r="E288" s="1">
        <f t="shared" si="207"/>
        <v>-3.4795783538218172</v>
      </c>
      <c r="F288" s="1">
        <f t="shared" si="207"/>
        <v>-0.5223336339178017</v>
      </c>
      <c r="G288" s="1">
        <f t="shared" si="207"/>
        <v>0.3688275643891091</v>
      </c>
      <c r="H288" s="1">
        <f t="shared" si="207"/>
        <v>1.4462152653445097</v>
      </c>
      <c r="I288" s="1">
        <f t="shared" si="207"/>
        <v>3.281899776644188</v>
      </c>
      <c r="J288" s="1">
        <f t="shared" si="207"/>
        <v>4.793875828259104</v>
      </c>
      <c r="K288" s="1">
        <f t="shared" si="207"/>
        <v>5.170560711944194</v>
      </c>
      <c r="L288" s="1">
        <f t="shared" si="207"/>
        <v>4.797179902640648</v>
      </c>
      <c r="M288" s="1">
        <f t="shared" si="207"/>
        <v>4.476764974747184</v>
      </c>
      <c r="N288" s="1">
        <f t="shared" si="207"/>
        <v>4.361589826746631</v>
      </c>
      <c r="O288" s="1">
        <f t="shared" si="207"/>
        <v>3.986809032628615</v>
      </c>
      <c r="P288" s="1">
        <f t="shared" si="207"/>
        <v>3.144402992889569</v>
      </c>
      <c r="Q288" s="1">
        <f t="shared" si="207"/>
        <v>2.2885869835666917</v>
      </c>
      <c r="R288" s="1">
        <f t="shared" si="207"/>
        <v>1.9308413257252985</v>
      </c>
      <c r="S288" s="1">
        <f t="shared" si="207"/>
        <v>1.8641504684353294</v>
      </c>
      <c r="T288" s="1">
        <f t="shared" si="207"/>
        <v>1.2894918665285986</v>
      </c>
      <c r="U288" s="1">
        <f t="shared" si="207"/>
        <v>-0.1759651207376104</v>
      </c>
      <c r="V288" s="1">
        <f t="shared" si="207"/>
        <v>-1.7646996875757608</v>
      </c>
      <c r="W288" s="1">
        <f t="shared" si="207"/>
        <v>-2.27151232297569</v>
      </c>
      <c r="X288" s="1">
        <f t="shared" si="207"/>
        <v>-2.069929617721434</v>
      </c>
      <c r="Y288" s="1">
        <f t="shared" si="207"/>
        <v>-3.9227588124240147</v>
      </c>
      <c r="Z288" s="1">
        <f t="shared" si="207"/>
        <v>-8.913884806548234</v>
      </c>
    </row>
    <row r="289" spans="1:26" ht="16.5" thickBot="1">
      <c r="A289" s="78" t="s">
        <v>317</v>
      </c>
      <c r="B289" s="1">
        <f>B288-(B262+B277)</f>
        <v>0</v>
      </c>
      <c r="C289" s="1">
        <f aca="true" t="shared" si="208" ref="C289:Z289">C288-(C262+C277)</f>
        <v>0</v>
      </c>
      <c r="D289" s="1">
        <f t="shared" si="208"/>
        <v>0</v>
      </c>
      <c r="E289" s="1">
        <f t="shared" si="208"/>
        <v>0</v>
      </c>
      <c r="F289" s="1">
        <f t="shared" si="208"/>
        <v>0</v>
      </c>
      <c r="G289" s="1">
        <f t="shared" si="208"/>
        <v>0</v>
      </c>
      <c r="H289" s="1">
        <f t="shared" si="208"/>
        <v>0</v>
      </c>
      <c r="I289" s="1">
        <f t="shared" si="208"/>
        <v>0</v>
      </c>
      <c r="J289" s="1">
        <f t="shared" si="208"/>
        <v>0</v>
      </c>
      <c r="K289" s="1">
        <f t="shared" si="208"/>
        <v>0</v>
      </c>
      <c r="L289" s="1">
        <f t="shared" si="208"/>
        <v>0</v>
      </c>
      <c r="M289" s="1">
        <f t="shared" si="208"/>
        <v>0</v>
      </c>
      <c r="N289" s="1">
        <f t="shared" si="208"/>
        <v>0</v>
      </c>
      <c r="O289" s="1">
        <f t="shared" si="208"/>
        <v>0</v>
      </c>
      <c r="P289" s="1">
        <f t="shared" si="208"/>
        <v>0</v>
      </c>
      <c r="Q289" s="1">
        <f t="shared" si="208"/>
        <v>0</v>
      </c>
      <c r="R289" s="1">
        <f t="shared" si="208"/>
        <v>0</v>
      </c>
      <c r="S289" s="1">
        <f t="shared" si="208"/>
        <v>0</v>
      </c>
      <c r="T289" s="1">
        <f t="shared" si="208"/>
        <v>0</v>
      </c>
      <c r="U289" s="1">
        <f t="shared" si="208"/>
        <v>0</v>
      </c>
      <c r="V289" s="1">
        <f t="shared" si="208"/>
        <v>0</v>
      </c>
      <c r="W289" s="1">
        <f t="shared" si="208"/>
        <v>0</v>
      </c>
      <c r="X289" s="1">
        <f t="shared" si="208"/>
        <v>0</v>
      </c>
      <c r="Y289" s="1">
        <f t="shared" si="208"/>
        <v>0</v>
      </c>
      <c r="Z289" s="1">
        <f t="shared" si="208"/>
        <v>0</v>
      </c>
    </row>
    <row r="290" ht="16.5" thickBot="1">
      <c r="A290" s="26" t="s">
        <v>424</v>
      </c>
    </row>
    <row r="291" spans="1:3" ht="16.5" thickBot="1">
      <c r="A291" s="160" t="s">
        <v>318</v>
      </c>
      <c r="B291" s="161"/>
      <c r="C291" s="161"/>
    </row>
    <row r="292" spans="1:26" ht="15.75">
      <c r="A292" s="79" t="s">
        <v>319</v>
      </c>
      <c r="B292" s="1">
        <f>B284</f>
        <v>3.2348559015689564</v>
      </c>
      <c r="C292" s="1">
        <f aca="true" t="shared" si="209" ref="C292:I292">C284</f>
        <v>5.721968619234081</v>
      </c>
      <c r="D292" s="1">
        <f t="shared" si="209"/>
        <v>5.512699198001705</v>
      </c>
      <c r="E292" s="1">
        <f t="shared" si="209"/>
        <v>2.816317059104205</v>
      </c>
      <c r="F292" s="1">
        <f t="shared" si="209"/>
        <v>0.32920434143907995</v>
      </c>
      <c r="G292" s="1">
        <f t="shared" si="209"/>
        <v>0.5384737626714555</v>
      </c>
      <c r="H292" s="1">
        <f t="shared" si="209"/>
        <v>3.234855901568956</v>
      </c>
      <c r="I292" s="1">
        <f t="shared" si="209"/>
        <v>5.721968619234081</v>
      </c>
      <c r="J292" s="1">
        <f aca="true" t="shared" si="210" ref="J292:Z292">J284</f>
        <v>5.512699198001705</v>
      </c>
      <c r="K292" s="1">
        <f t="shared" si="210"/>
        <v>2.8163170591042026</v>
      </c>
      <c r="L292" s="1">
        <f t="shared" si="210"/>
        <v>0.3292043414390804</v>
      </c>
      <c r="M292" s="1">
        <f t="shared" si="210"/>
        <v>0.5384737626714551</v>
      </c>
      <c r="N292" s="1">
        <f t="shared" si="210"/>
        <v>3.2348559015689577</v>
      </c>
      <c r="O292" s="1">
        <f t="shared" si="210"/>
        <v>5.7219686192340795</v>
      </c>
      <c r="P292" s="1">
        <f t="shared" si="210"/>
        <v>5.512699198001705</v>
      </c>
      <c r="Q292" s="1">
        <f t="shared" si="210"/>
        <v>2.8163170591042035</v>
      </c>
      <c r="R292" s="1">
        <f t="shared" si="210"/>
        <v>0.3292043414390782</v>
      </c>
      <c r="S292" s="1">
        <f t="shared" si="210"/>
        <v>0.5384737626714551</v>
      </c>
      <c r="T292" s="1">
        <f t="shared" si="210"/>
        <v>3.2348559015689515</v>
      </c>
      <c r="U292" s="1">
        <f t="shared" si="210"/>
        <v>5.721968619234083</v>
      </c>
      <c r="V292" s="1">
        <f t="shared" si="210"/>
        <v>5.512699198001705</v>
      </c>
      <c r="W292" s="1">
        <f t="shared" si="210"/>
        <v>2.8163170591042093</v>
      </c>
      <c r="X292" s="1">
        <f t="shared" si="210"/>
        <v>0.3292043414390786</v>
      </c>
      <c r="Y292" s="1">
        <f t="shared" si="210"/>
        <v>0.5384737626714546</v>
      </c>
      <c r="Z292" s="1">
        <f t="shared" si="210"/>
        <v>3.234855901568951</v>
      </c>
    </row>
    <row r="293" spans="1:26" ht="15.75">
      <c r="A293" s="49" t="s">
        <v>320</v>
      </c>
      <c r="B293" s="1">
        <f>B285</f>
        <v>4.044871646009613</v>
      </c>
      <c r="C293" s="1">
        <f aca="true" t="shared" si="211" ref="C293:I293">C285</f>
        <v>5.426489384478513</v>
      </c>
      <c r="D293" s="1">
        <f t="shared" si="211"/>
        <v>5.9374588030328725</v>
      </c>
      <c r="E293" s="1">
        <f t="shared" si="211"/>
        <v>5.278460946241442</v>
      </c>
      <c r="F293" s="1">
        <f t="shared" si="211"/>
        <v>3.835527821037838</v>
      </c>
      <c r="G293" s="1">
        <f t="shared" si="211"/>
        <v>2.453910082568936</v>
      </c>
      <c r="H293" s="1">
        <f t="shared" si="211"/>
        <v>1.9429406640145774</v>
      </c>
      <c r="I293" s="1">
        <f t="shared" si="211"/>
        <v>2.6019385208060077</v>
      </c>
      <c r="J293" s="1">
        <f aca="true" t="shared" si="212" ref="J293:Z293">J285</f>
        <v>4.044871646009613</v>
      </c>
      <c r="K293" s="1">
        <f t="shared" si="212"/>
        <v>5.426489384478515</v>
      </c>
      <c r="L293" s="1">
        <f t="shared" si="212"/>
        <v>5.9374588030328725</v>
      </c>
      <c r="M293" s="1">
        <f t="shared" si="212"/>
        <v>5.278460946241443</v>
      </c>
      <c r="N293" s="1">
        <f t="shared" si="212"/>
        <v>3.8355278210378376</v>
      </c>
      <c r="O293" s="1">
        <f t="shared" si="212"/>
        <v>2.453910082568938</v>
      </c>
      <c r="P293" s="1">
        <f t="shared" si="212"/>
        <v>1.9429406640145774</v>
      </c>
      <c r="Q293" s="1">
        <f t="shared" si="212"/>
        <v>2.6019385208060095</v>
      </c>
      <c r="R293" s="1">
        <f t="shared" si="212"/>
        <v>4.044871646009613</v>
      </c>
      <c r="S293" s="1">
        <f t="shared" si="212"/>
        <v>5.426489384478515</v>
      </c>
      <c r="T293" s="1">
        <f t="shared" si="212"/>
        <v>5.937458803032873</v>
      </c>
      <c r="U293" s="1">
        <f t="shared" si="212"/>
        <v>5.278460946241441</v>
      </c>
      <c r="V293" s="1">
        <f t="shared" si="212"/>
        <v>3.835527821037838</v>
      </c>
      <c r="W293" s="1">
        <f t="shared" si="212"/>
        <v>2.453910082568936</v>
      </c>
      <c r="X293" s="1">
        <f t="shared" si="212"/>
        <v>1.9429406640145774</v>
      </c>
      <c r="Y293" s="1">
        <f t="shared" si="212"/>
        <v>2.601938520806007</v>
      </c>
      <c r="Z293" s="1">
        <f t="shared" si="212"/>
        <v>4.044871646009612</v>
      </c>
    </row>
    <row r="294" spans="1:26" ht="15.75">
      <c r="A294" s="49" t="s">
        <v>321</v>
      </c>
      <c r="B294" s="1">
        <f>B286</f>
        <v>0.45842511239575295</v>
      </c>
      <c r="C294" s="1">
        <f aca="true" t="shared" si="213" ref="C294:I294">C286</f>
        <v>0.47411348829593214</v>
      </c>
      <c r="D294" s="1">
        <f t="shared" si="213"/>
        <v>0.48969868385014126</v>
      </c>
      <c r="E294" s="1">
        <f t="shared" si="213"/>
        <v>0.5050846111451852</v>
      </c>
      <c r="F294" s="1">
        <f t="shared" si="213"/>
        <v>0.5201764108229501</v>
      </c>
      <c r="G294" s="1">
        <f t="shared" si="213"/>
        <v>0.5348810369198896</v>
      </c>
      <c r="H294" s="1">
        <f t="shared" si="213"/>
        <v>0.549107830526332</v>
      </c>
      <c r="I294" s="1">
        <f t="shared" si="213"/>
        <v>0.5627690787288046</v>
      </c>
      <c r="J294" s="1">
        <f aca="true" t="shared" si="214" ref="J294:Z294">J286</f>
        <v>0.5757805553893129</v>
      </c>
      <c r="K294" s="1">
        <f t="shared" si="214"/>
        <v>0.5880620404274901</v>
      </c>
      <c r="L294" s="1">
        <f t="shared" si="214"/>
        <v>0.5995378144040675</v>
      </c>
      <c r="M294" s="1">
        <f t="shared" si="214"/>
        <v>0.6101371253563974</v>
      </c>
      <c r="N294" s="1">
        <f t="shared" si="214"/>
        <v>0.6197946250078303</v>
      </c>
      <c r="O294" s="1">
        <f t="shared" si="214"/>
        <v>0.6284507716615704</v>
      </c>
      <c r="P294" s="1">
        <f t="shared" si="214"/>
        <v>0.6360521972950366</v>
      </c>
      <c r="Q294" s="1">
        <f t="shared" si="214"/>
        <v>0.642552036591468</v>
      </c>
      <c r="R294" s="1">
        <f t="shared" si="214"/>
        <v>0.6479102158801864</v>
      </c>
      <c r="S294" s="1">
        <f t="shared" si="214"/>
        <v>0.6520937002041011</v>
      </c>
      <c r="T294" s="1">
        <f t="shared" si="214"/>
        <v>0.6550766969912057</v>
      </c>
      <c r="U294" s="1">
        <f t="shared" si="214"/>
        <v>0.6568408150743607</v>
      </c>
      <c r="V294" s="1">
        <f t="shared" si="214"/>
        <v>0.6573751780789543</v>
      </c>
      <c r="W294" s="1">
        <f t="shared" si="214"/>
        <v>0.6566764914793699</v>
      </c>
      <c r="X294" s="1">
        <f t="shared" si="214"/>
        <v>0.6547490629108306</v>
      </c>
      <c r="Y294" s="1">
        <f t="shared" si="214"/>
        <v>0.6516047756113963</v>
      </c>
      <c r="Z294" s="1">
        <f t="shared" si="214"/>
        <v>0.6472630151578498</v>
      </c>
    </row>
    <row r="295" spans="1:26" ht="16.5" thickBot="1">
      <c r="A295" s="50" t="s">
        <v>322</v>
      </c>
      <c r="B295" s="1">
        <f aca="true" t="shared" si="215" ref="B295:Z295">B292*B131+B293*B132+B294*0</f>
        <v>-8.945093448276143</v>
      </c>
      <c r="C295" s="1">
        <f t="shared" si="215"/>
        <v>-11.917928191126633</v>
      </c>
      <c r="D295" s="1">
        <f t="shared" si="215"/>
        <v>-8.816379067640842</v>
      </c>
      <c r="E295" s="1">
        <f t="shared" si="215"/>
        <v>-3.4795783538218172</v>
      </c>
      <c r="F295" s="1">
        <f t="shared" si="215"/>
        <v>-0.5223336339178017</v>
      </c>
      <c r="G295" s="1">
        <f t="shared" si="215"/>
        <v>0.3688275643891091</v>
      </c>
      <c r="H295" s="1">
        <f t="shared" si="215"/>
        <v>1.4462152653445097</v>
      </c>
      <c r="I295" s="1">
        <f t="shared" si="215"/>
        <v>3.281899776644188</v>
      </c>
      <c r="J295" s="1">
        <f t="shared" si="215"/>
        <v>4.793875828259104</v>
      </c>
      <c r="K295" s="1">
        <f t="shared" si="215"/>
        <v>5.170560711944194</v>
      </c>
      <c r="L295" s="1">
        <f t="shared" si="215"/>
        <v>4.797179902640648</v>
      </c>
      <c r="M295" s="1">
        <f t="shared" si="215"/>
        <v>4.476764974747184</v>
      </c>
      <c r="N295" s="1">
        <f t="shared" si="215"/>
        <v>4.361589826746631</v>
      </c>
      <c r="O295" s="1">
        <f t="shared" si="215"/>
        <v>3.986809032628615</v>
      </c>
      <c r="P295" s="1">
        <f t="shared" si="215"/>
        <v>3.144402992889569</v>
      </c>
      <c r="Q295" s="1">
        <f t="shared" si="215"/>
        <v>2.2885869835666917</v>
      </c>
      <c r="R295" s="1">
        <f t="shared" si="215"/>
        <v>1.9308413257252985</v>
      </c>
      <c r="S295" s="1">
        <f t="shared" si="215"/>
        <v>1.8641504684353294</v>
      </c>
      <c r="T295" s="1">
        <f t="shared" si="215"/>
        <v>1.2894918665285986</v>
      </c>
      <c r="U295" s="1">
        <f t="shared" si="215"/>
        <v>-0.1759651207376104</v>
      </c>
      <c r="V295" s="1">
        <f t="shared" si="215"/>
        <v>-1.7646996875757608</v>
      </c>
      <c r="W295" s="1">
        <f t="shared" si="215"/>
        <v>-2.27151232297569</v>
      </c>
      <c r="X295" s="1">
        <f t="shared" si="215"/>
        <v>-2.069929617721434</v>
      </c>
      <c r="Y295" s="1">
        <f t="shared" si="215"/>
        <v>-3.9227588124240147</v>
      </c>
      <c r="Z295" s="1">
        <f t="shared" si="215"/>
        <v>-8.913884806548234</v>
      </c>
    </row>
    <row r="296" spans="1:26" ht="16.5" thickBot="1">
      <c r="A296" s="80" t="s">
        <v>317</v>
      </c>
      <c r="B296" s="1">
        <f aca="true" t="shared" si="216" ref="B296:Z296">B292*B131+B293*B132+B294*0-(B262+B277)</f>
        <v>0</v>
      </c>
      <c r="C296" s="1">
        <f t="shared" si="216"/>
        <v>0</v>
      </c>
      <c r="D296" s="1">
        <f t="shared" si="216"/>
        <v>0</v>
      </c>
      <c r="E296" s="1">
        <f t="shared" si="216"/>
        <v>0</v>
      </c>
      <c r="F296" s="1">
        <f t="shared" si="216"/>
        <v>0</v>
      </c>
      <c r="G296" s="1">
        <f t="shared" si="216"/>
        <v>0</v>
      </c>
      <c r="H296" s="1">
        <f t="shared" si="216"/>
        <v>0</v>
      </c>
      <c r="I296" s="1">
        <f t="shared" si="216"/>
        <v>0</v>
      </c>
      <c r="J296" s="1">
        <f t="shared" si="216"/>
        <v>0</v>
      </c>
      <c r="K296" s="1">
        <f t="shared" si="216"/>
        <v>0</v>
      </c>
      <c r="L296" s="1">
        <f t="shared" si="216"/>
        <v>0</v>
      </c>
      <c r="M296" s="1">
        <f t="shared" si="216"/>
        <v>0</v>
      </c>
      <c r="N296" s="1">
        <f t="shared" si="216"/>
        <v>0</v>
      </c>
      <c r="O296" s="1">
        <f t="shared" si="216"/>
        <v>0</v>
      </c>
      <c r="P296" s="1">
        <f t="shared" si="216"/>
        <v>0</v>
      </c>
      <c r="Q296" s="1">
        <f t="shared" si="216"/>
        <v>0</v>
      </c>
      <c r="R296" s="1">
        <f t="shared" si="216"/>
        <v>0</v>
      </c>
      <c r="S296" s="1">
        <f t="shared" si="216"/>
        <v>0</v>
      </c>
      <c r="T296" s="1">
        <f t="shared" si="216"/>
        <v>0</v>
      </c>
      <c r="U296" s="1">
        <f t="shared" si="216"/>
        <v>0</v>
      </c>
      <c r="V296" s="1">
        <f t="shared" si="216"/>
        <v>0</v>
      </c>
      <c r="W296" s="1">
        <f t="shared" si="216"/>
        <v>0</v>
      </c>
      <c r="X296" s="1">
        <f t="shared" si="216"/>
        <v>0</v>
      </c>
      <c r="Y296" s="1">
        <f t="shared" si="216"/>
        <v>0</v>
      </c>
      <c r="Z296" s="1">
        <f t="shared" si="216"/>
        <v>0</v>
      </c>
    </row>
    <row r="297" ht="16.5" thickBot="1">
      <c r="A297" s="81"/>
    </row>
    <row r="298" spans="1:3" ht="16.5" thickBot="1">
      <c r="A298" s="160" t="s">
        <v>323</v>
      </c>
      <c r="B298" s="161"/>
      <c r="C298" s="161"/>
    </row>
    <row r="299" spans="1:26" ht="15.75">
      <c r="A299" s="79" t="s">
        <v>324</v>
      </c>
      <c r="B299" s="1">
        <f>B292+B236</f>
        <v>1.5756833300467659</v>
      </c>
      <c r="C299" s="1">
        <f aca="true" t="shared" si="217" ref="C299:Z299">C292+C236</f>
        <v>5.1076252478679764</v>
      </c>
      <c r="D299" s="1">
        <f t="shared" si="217"/>
        <v>6.334431999262933</v>
      </c>
      <c r="E299" s="1">
        <f t="shared" si="217"/>
        <v>4.2555363714358645</v>
      </c>
      <c r="F299" s="1">
        <f t="shared" si="217"/>
        <v>1.685018892993032</v>
      </c>
      <c r="G299" s="1">
        <f t="shared" si="217"/>
        <v>1.5642674723562113</v>
      </c>
      <c r="H299" s="1">
        <f t="shared" si="217"/>
        <v>3.8894141313113146</v>
      </c>
      <c r="I299" s="1">
        <f t="shared" si="217"/>
        <v>6.02462715181312</v>
      </c>
      <c r="J299" s="1">
        <f t="shared" si="217"/>
        <v>5.510247385113128</v>
      </c>
      <c r="K299" s="1">
        <f t="shared" si="217"/>
        <v>2.577463951593205</v>
      </c>
      <c r="L299" s="1">
        <f t="shared" si="217"/>
        <v>-0.062245170754029244</v>
      </c>
      <c r="M299" s="1">
        <f t="shared" si="217"/>
        <v>0.08151378555656474</v>
      </c>
      <c r="N299" s="1">
        <f t="shared" si="217"/>
        <v>2.7890276738175546</v>
      </c>
      <c r="O299" s="1">
        <f t="shared" si="217"/>
        <v>5.343615774453819</v>
      </c>
      <c r="P299" s="1">
        <f t="shared" si="217"/>
        <v>5.235573949485709</v>
      </c>
      <c r="Q299" s="1">
        <f t="shared" si="217"/>
        <v>2.6555245401919683</v>
      </c>
      <c r="R299" s="1">
        <f t="shared" si="217"/>
        <v>0.2875626583328222</v>
      </c>
      <c r="S299" s="1">
        <f t="shared" si="217"/>
        <v>0.6119507514298096</v>
      </c>
      <c r="T299" s="1">
        <f t="shared" si="217"/>
        <v>3.413628291374444</v>
      </c>
      <c r="U299" s="1">
        <f t="shared" si="217"/>
        <v>5.980829996494929</v>
      </c>
      <c r="V299" s="1">
        <f t="shared" si="217"/>
        <v>5.778944040329498</v>
      </c>
      <c r="W299" s="1">
        <f t="shared" si="217"/>
        <v>2.9019110340552894</v>
      </c>
      <c r="X299" s="1">
        <f t="shared" si="217"/>
        <v>-0.13069484564759543</v>
      </c>
      <c r="Y299" s="1">
        <f t="shared" si="217"/>
        <v>-0.7845006102323981</v>
      </c>
      <c r="Z299" s="1">
        <f t="shared" si="217"/>
        <v>1.5777740853125346</v>
      </c>
    </row>
    <row r="300" spans="1:26" ht="15.75">
      <c r="A300" s="49" t="s">
        <v>325</v>
      </c>
      <c r="B300" s="1">
        <f aca="true" t="shared" si="218" ref="B300:Z300">B293+B237+$L$8</f>
        <v>10.20304641750957</v>
      </c>
      <c r="C300" s="1">
        <f t="shared" si="218"/>
        <v>9.297057396696996</v>
      </c>
      <c r="D300" s="1">
        <f t="shared" si="218"/>
        <v>8.780528453082162</v>
      </c>
      <c r="E300" s="1">
        <f t="shared" si="218"/>
        <v>8.409372011185503</v>
      </c>
      <c r="F300" s="1">
        <f t="shared" si="218"/>
        <v>7.598396036111296</v>
      </c>
      <c r="G300" s="1">
        <f t="shared" si="218"/>
        <v>6.724355019178581</v>
      </c>
      <c r="H300" s="1">
        <f t="shared" si="218"/>
        <v>6.5760296339785675</v>
      </c>
      <c r="I300" s="1">
        <f t="shared" si="218"/>
        <v>7.527652298838937</v>
      </c>
      <c r="J300" s="1">
        <f t="shared" si="218"/>
        <v>9.243230926700237</v>
      </c>
      <c r="K300" s="1">
        <f t="shared" si="218"/>
        <v>10.894477001523732</v>
      </c>
      <c r="L300" s="1">
        <f t="shared" si="218"/>
        <v>11.667498354895333</v>
      </c>
      <c r="M300" s="1">
        <f t="shared" si="218"/>
        <v>11.247917407818607</v>
      </c>
      <c r="N300" s="1">
        <f t="shared" si="218"/>
        <v>10.007071371827124</v>
      </c>
      <c r="O300" s="1">
        <f t="shared" si="218"/>
        <v>8.784252467687057</v>
      </c>
      <c r="P300" s="1">
        <f t="shared" si="218"/>
        <v>8.393767884567858</v>
      </c>
      <c r="Q300" s="1">
        <f t="shared" si="218"/>
        <v>9.148445566895763</v>
      </c>
      <c r="R300" s="1">
        <f t="shared" si="218"/>
        <v>10.682076827460644</v>
      </c>
      <c r="S300" s="1">
        <f t="shared" si="218"/>
        <v>12.175624923819939</v>
      </c>
      <c r="T300" s="1">
        <f t="shared" si="218"/>
        <v>12.853531539367273</v>
      </c>
      <c r="U300" s="1">
        <f t="shared" si="218"/>
        <v>12.457429066827704</v>
      </c>
      <c r="V300" s="1">
        <f t="shared" si="218"/>
        <v>11.411029458721774</v>
      </c>
      <c r="W300" s="1">
        <f t="shared" si="218"/>
        <v>10.541510151981527</v>
      </c>
      <c r="X300" s="1">
        <f t="shared" si="218"/>
        <v>10.419061136722593</v>
      </c>
      <c r="Y300" s="1">
        <f t="shared" si="218"/>
        <v>10.659911039469211</v>
      </c>
      <c r="Z300" s="1">
        <f t="shared" si="218"/>
        <v>10.244886749837418</v>
      </c>
    </row>
    <row r="301" spans="1:26" ht="15.75">
      <c r="A301" s="49" t="s">
        <v>326</v>
      </c>
      <c r="B301" s="25">
        <f aca="true" t="shared" si="219" ref="B301:Z301">-B292*(B130-B106)+B293*(B129-B105)-B236*(B228-B106)+(B237+$L$8)*(B227-B105)+B238</f>
        <v>63.69322892416021</v>
      </c>
      <c r="C301" s="25">
        <f t="shared" si="219"/>
        <v>34.198515174690044</v>
      </c>
      <c r="D301" s="25">
        <f t="shared" si="219"/>
        <v>18.220787173853882</v>
      </c>
      <c r="E301" s="25">
        <f t="shared" si="219"/>
        <v>19.685272546270195</v>
      </c>
      <c r="F301" s="25">
        <f t="shared" si="219"/>
        <v>28.71860544954581</v>
      </c>
      <c r="G301" s="25">
        <f t="shared" si="219"/>
        <v>38.46912818360663</v>
      </c>
      <c r="H301" s="25">
        <f t="shared" si="219"/>
        <v>46.104275931996064</v>
      </c>
      <c r="I301" s="25">
        <f t="shared" si="219"/>
        <v>50.26857657695419</v>
      </c>
      <c r="J301" s="25">
        <f t="shared" si="219"/>
        <v>51.53730346156413</v>
      </c>
      <c r="K301" s="25">
        <f t="shared" si="219"/>
        <v>52.362834939739926</v>
      </c>
      <c r="L301" s="25">
        <f t="shared" si="219"/>
        <v>54.90881647012421</v>
      </c>
      <c r="M301" s="25">
        <f t="shared" si="219"/>
        <v>59.108578077416276</v>
      </c>
      <c r="N301" s="25">
        <f t="shared" si="219"/>
        <v>63.24741008546456</v>
      </c>
      <c r="O301" s="25">
        <f t="shared" si="219"/>
        <v>66.06913758132072</v>
      </c>
      <c r="P301" s="25">
        <f t="shared" si="219"/>
        <v>67.66253765980368</v>
      </c>
      <c r="Q301" s="25">
        <f t="shared" si="219"/>
        <v>68.417342131156</v>
      </c>
      <c r="R301" s="25">
        <f t="shared" si="219"/>
        <v>68.0718533319371</v>
      </c>
      <c r="S301" s="25">
        <f t="shared" si="219"/>
        <v>66.54483490196407</v>
      </c>
      <c r="T301" s="25">
        <f t="shared" si="219"/>
        <v>65.45754924241648</v>
      </c>
      <c r="U301" s="25">
        <f t="shared" si="219"/>
        <v>67.84913855489279</v>
      </c>
      <c r="V301" s="25">
        <f t="shared" si="219"/>
        <v>75.52045860223882</v>
      </c>
      <c r="W301" s="25">
        <f t="shared" si="219"/>
        <v>86.29375856603686</v>
      </c>
      <c r="X301" s="25">
        <f t="shared" si="219"/>
        <v>93.4861078653882</v>
      </c>
      <c r="Y301" s="25">
        <f t="shared" si="219"/>
        <v>87.79563013140266</v>
      </c>
      <c r="Z301" s="25">
        <f t="shared" si="219"/>
        <v>64.18971312694029</v>
      </c>
    </row>
    <row r="302" ht="15">
      <c r="A302" s="88"/>
    </row>
    <row r="303" spans="1:26" ht="16.5" thickBot="1">
      <c r="A303" s="50" t="s">
        <v>327</v>
      </c>
      <c r="B303" s="1">
        <f aca="true" t="shared" si="220" ref="B303:Z303">B299*B107+B300*B108+B301*B123</f>
        <v>19.28567270585226</v>
      </c>
      <c r="C303" s="1">
        <f t="shared" si="220"/>
        <v>3.9721881163793356</v>
      </c>
      <c r="D303" s="1">
        <f t="shared" si="220"/>
        <v>-2.3274772934464814</v>
      </c>
      <c r="E303" s="1">
        <f t="shared" si="220"/>
        <v>-0.25051299365043</v>
      </c>
      <c r="F303" s="1">
        <f t="shared" si="220"/>
        <v>0.6274260826969994</v>
      </c>
      <c r="G303" s="1">
        <f t="shared" si="220"/>
        <v>-1.0847033546995573</v>
      </c>
      <c r="H303" s="1">
        <f t="shared" si="220"/>
        <v>-2.894206333066001</v>
      </c>
      <c r="I303" s="1">
        <f t="shared" si="220"/>
        <v>-3.9025010514020724</v>
      </c>
      <c r="J303" s="1">
        <f t="shared" si="220"/>
        <v>-4.943779972247636</v>
      </c>
      <c r="K303" s="1">
        <f t="shared" si="220"/>
        <v>-6.609722282600188</v>
      </c>
      <c r="L303" s="1">
        <f t="shared" si="220"/>
        <v>-8.345361338297007</v>
      </c>
      <c r="M303" s="1">
        <f t="shared" si="220"/>
        <v>-9.26692519084052</v>
      </c>
      <c r="N303" s="1">
        <f t="shared" si="220"/>
        <v>-9.247836649967244</v>
      </c>
      <c r="O303" s="1">
        <f t="shared" si="220"/>
        <v>-8.8634528285746</v>
      </c>
      <c r="P303" s="1">
        <f t="shared" si="220"/>
        <v>-8.463980692788706</v>
      </c>
      <c r="Q303" s="1">
        <f t="shared" si="220"/>
        <v>-7.714802679097609</v>
      </c>
      <c r="R303" s="1">
        <f t="shared" si="220"/>
        <v>-6.165050109894009</v>
      </c>
      <c r="S303" s="1">
        <f t="shared" si="220"/>
        <v>-3.9953741597294554</v>
      </c>
      <c r="T303" s="1">
        <f t="shared" si="220"/>
        <v>-1.8503493453212627</v>
      </c>
      <c r="U303" s="1">
        <f t="shared" si="220"/>
        <v>0.23857589688465392</v>
      </c>
      <c r="V303" s="1">
        <f t="shared" si="220"/>
        <v>3.668755003504092</v>
      </c>
      <c r="W303" s="1">
        <f t="shared" si="220"/>
        <v>10.475774829516999</v>
      </c>
      <c r="X303" s="1">
        <f t="shared" si="220"/>
        <v>20.324119564267836</v>
      </c>
      <c r="Y303" s="1">
        <f t="shared" si="220"/>
        <v>26.56458143011171</v>
      </c>
      <c r="Z303" s="1">
        <f t="shared" si="220"/>
        <v>19.401419450035306</v>
      </c>
    </row>
    <row r="304" spans="1:26" ht="16.5" thickBot="1">
      <c r="A304" s="89" t="s">
        <v>317</v>
      </c>
      <c r="B304" s="1">
        <f>B303-(B262+B277+B242)</f>
        <v>0</v>
      </c>
      <c r="C304" s="1">
        <f aca="true" t="shared" si="221" ref="C304:Z304">C303-(C262+C277+C242)</f>
        <v>0</v>
      </c>
      <c r="D304" s="1">
        <f t="shared" si="221"/>
        <v>0</v>
      </c>
      <c r="E304" s="1">
        <f t="shared" si="221"/>
        <v>8.881784197001252E-16</v>
      </c>
      <c r="F304" s="1">
        <f t="shared" si="221"/>
        <v>0</v>
      </c>
      <c r="G304" s="1">
        <f t="shared" si="221"/>
        <v>0</v>
      </c>
      <c r="H304" s="1">
        <f t="shared" si="221"/>
        <v>0</v>
      </c>
      <c r="I304" s="1">
        <f t="shared" si="221"/>
        <v>0</v>
      </c>
      <c r="J304" s="1">
        <f t="shared" si="221"/>
        <v>0</v>
      </c>
      <c r="K304" s="1">
        <f t="shared" si="221"/>
        <v>0</v>
      </c>
      <c r="L304" s="1">
        <f t="shared" si="221"/>
        <v>0</v>
      </c>
      <c r="M304" s="1">
        <f t="shared" si="221"/>
        <v>0</v>
      </c>
      <c r="N304" s="1">
        <f t="shared" si="221"/>
        <v>0</v>
      </c>
      <c r="O304" s="1">
        <f t="shared" si="221"/>
        <v>0</v>
      </c>
      <c r="P304" s="1">
        <f t="shared" si="221"/>
        <v>0</v>
      </c>
      <c r="Q304" s="1">
        <f t="shared" si="221"/>
        <v>0</v>
      </c>
      <c r="R304" s="1">
        <f t="shared" si="221"/>
        <v>0</v>
      </c>
      <c r="S304" s="1">
        <f t="shared" si="221"/>
        <v>0</v>
      </c>
      <c r="T304" s="1">
        <f t="shared" si="221"/>
        <v>0</v>
      </c>
      <c r="U304" s="1">
        <f t="shared" si="221"/>
        <v>0</v>
      </c>
      <c r="V304" s="1">
        <f t="shared" si="221"/>
        <v>0</v>
      </c>
      <c r="W304" s="1">
        <f t="shared" si="221"/>
        <v>0</v>
      </c>
      <c r="X304" s="1">
        <f t="shared" si="221"/>
        <v>0</v>
      </c>
      <c r="Y304" s="1">
        <f t="shared" si="221"/>
        <v>0</v>
      </c>
      <c r="Z304" s="1">
        <f t="shared" si="221"/>
        <v>0</v>
      </c>
    </row>
    <row r="305" ht="15.75" thickBot="1"/>
    <row r="306" spans="1:3" ht="15.75">
      <c r="A306" s="160" t="s">
        <v>328</v>
      </c>
      <c r="B306" s="161"/>
      <c r="C306" s="161"/>
    </row>
    <row r="307" ht="15.75" thickBot="1"/>
    <row r="308" spans="1:26" ht="15.75">
      <c r="A308" s="79" t="s">
        <v>329</v>
      </c>
      <c r="B308" s="1">
        <f>B299</f>
        <v>1.5756833300467659</v>
      </c>
      <c r="C308" s="1">
        <f aca="true" t="shared" si="222" ref="C308:Z309">C299</f>
        <v>5.1076252478679764</v>
      </c>
      <c r="D308" s="1">
        <f t="shared" si="222"/>
        <v>6.334431999262933</v>
      </c>
      <c r="E308" s="1">
        <f t="shared" si="222"/>
        <v>4.2555363714358645</v>
      </c>
      <c r="F308" s="1">
        <f t="shared" si="222"/>
        <v>1.685018892993032</v>
      </c>
      <c r="G308" s="1">
        <f t="shared" si="222"/>
        <v>1.5642674723562113</v>
      </c>
      <c r="H308" s="1">
        <f t="shared" si="222"/>
        <v>3.8894141313113146</v>
      </c>
      <c r="I308" s="1">
        <f t="shared" si="222"/>
        <v>6.02462715181312</v>
      </c>
      <c r="J308" s="1">
        <f t="shared" si="222"/>
        <v>5.510247385113128</v>
      </c>
      <c r="K308" s="1">
        <f t="shared" si="222"/>
        <v>2.577463951593205</v>
      </c>
      <c r="L308" s="1">
        <f t="shared" si="222"/>
        <v>-0.062245170754029244</v>
      </c>
      <c r="M308" s="1">
        <f t="shared" si="222"/>
        <v>0.08151378555656474</v>
      </c>
      <c r="N308" s="1">
        <f t="shared" si="222"/>
        <v>2.7890276738175546</v>
      </c>
      <c r="O308" s="1">
        <f t="shared" si="222"/>
        <v>5.343615774453819</v>
      </c>
      <c r="P308" s="1">
        <f t="shared" si="222"/>
        <v>5.235573949485709</v>
      </c>
      <c r="Q308" s="1">
        <f t="shared" si="222"/>
        <v>2.6555245401919683</v>
      </c>
      <c r="R308" s="1">
        <f t="shared" si="222"/>
        <v>0.2875626583328222</v>
      </c>
      <c r="S308" s="1">
        <f t="shared" si="222"/>
        <v>0.6119507514298096</v>
      </c>
      <c r="T308" s="1">
        <f t="shared" si="222"/>
        <v>3.413628291374444</v>
      </c>
      <c r="U308" s="1">
        <f t="shared" si="222"/>
        <v>5.980829996494929</v>
      </c>
      <c r="V308" s="1">
        <f t="shared" si="222"/>
        <v>5.778944040329498</v>
      </c>
      <c r="W308" s="1">
        <f t="shared" si="222"/>
        <v>2.9019110340552894</v>
      </c>
      <c r="X308" s="1">
        <f t="shared" si="222"/>
        <v>-0.13069484564759543</v>
      </c>
      <c r="Y308" s="1">
        <f t="shared" si="222"/>
        <v>-0.7845006102323981</v>
      </c>
      <c r="Z308" s="1">
        <f t="shared" si="222"/>
        <v>1.5777740853125346</v>
      </c>
    </row>
    <row r="309" spans="1:26" ht="15.75">
      <c r="A309" s="49" t="s">
        <v>330</v>
      </c>
      <c r="B309" s="1">
        <f aca="true" t="shared" si="223" ref="B309:Q309">B300</f>
        <v>10.20304641750957</v>
      </c>
      <c r="C309" s="1">
        <f t="shared" si="223"/>
        <v>9.297057396696996</v>
      </c>
      <c r="D309" s="1">
        <f t="shared" si="223"/>
        <v>8.780528453082162</v>
      </c>
      <c r="E309" s="1">
        <f t="shared" si="223"/>
        <v>8.409372011185503</v>
      </c>
      <c r="F309" s="1">
        <f t="shared" si="223"/>
        <v>7.598396036111296</v>
      </c>
      <c r="G309" s="1">
        <f t="shared" si="223"/>
        <v>6.724355019178581</v>
      </c>
      <c r="H309" s="1">
        <f t="shared" si="223"/>
        <v>6.5760296339785675</v>
      </c>
      <c r="I309" s="1">
        <f t="shared" si="223"/>
        <v>7.527652298838937</v>
      </c>
      <c r="J309" s="1">
        <f t="shared" si="223"/>
        <v>9.243230926700237</v>
      </c>
      <c r="K309" s="1">
        <f t="shared" si="223"/>
        <v>10.894477001523732</v>
      </c>
      <c r="L309" s="1">
        <f t="shared" si="223"/>
        <v>11.667498354895333</v>
      </c>
      <c r="M309" s="1">
        <f t="shared" si="223"/>
        <v>11.247917407818607</v>
      </c>
      <c r="N309" s="1">
        <f t="shared" si="223"/>
        <v>10.007071371827124</v>
      </c>
      <c r="O309" s="1">
        <f t="shared" si="223"/>
        <v>8.784252467687057</v>
      </c>
      <c r="P309" s="1">
        <f t="shared" si="223"/>
        <v>8.393767884567858</v>
      </c>
      <c r="Q309" s="1">
        <f t="shared" si="223"/>
        <v>9.148445566895763</v>
      </c>
      <c r="R309" s="1">
        <f t="shared" si="222"/>
        <v>10.682076827460644</v>
      </c>
      <c r="S309" s="1">
        <f t="shared" si="222"/>
        <v>12.175624923819939</v>
      </c>
      <c r="T309" s="1">
        <f t="shared" si="222"/>
        <v>12.853531539367273</v>
      </c>
      <c r="U309" s="1">
        <f t="shared" si="222"/>
        <v>12.457429066827704</v>
      </c>
      <c r="V309" s="1">
        <f t="shared" si="222"/>
        <v>11.411029458721774</v>
      </c>
      <c r="W309" s="1">
        <f t="shared" si="222"/>
        <v>10.541510151981527</v>
      </c>
      <c r="X309" s="1">
        <f t="shared" si="222"/>
        <v>10.419061136722593</v>
      </c>
      <c r="Y309" s="1">
        <f t="shared" si="222"/>
        <v>10.659911039469211</v>
      </c>
      <c r="Z309" s="1">
        <f t="shared" si="222"/>
        <v>10.244886749837418</v>
      </c>
    </row>
    <row r="310" spans="1:27" s="94" customFormat="1" ht="15.75">
      <c r="A310" s="98" t="s">
        <v>331</v>
      </c>
      <c r="B310" s="95">
        <f aca="true" t="shared" si="224" ref="B310:Z310">B301*B123/B76</f>
        <v>-54.536218856292564</v>
      </c>
      <c r="C310" s="95">
        <f t="shared" si="224"/>
        <v>-27.193895946381797</v>
      </c>
      <c r="D310" s="95">
        <f t="shared" si="224"/>
        <v>-13.370029105051675</v>
      </c>
      <c r="E310" s="95">
        <f t="shared" si="224"/>
        <v>-13.514358933988412</v>
      </c>
      <c r="F310" s="95">
        <f t="shared" si="224"/>
        <v>-19.03778715691563</v>
      </c>
      <c r="G310" s="95">
        <f t="shared" si="224"/>
        <v>-25.521570693211608</v>
      </c>
      <c r="H310" s="95">
        <f t="shared" si="224"/>
        <v>-31.467454743431926</v>
      </c>
      <c r="I310" s="95">
        <f t="shared" si="224"/>
        <v>-35.8411301538962</v>
      </c>
      <c r="J310" s="95">
        <f t="shared" si="224"/>
        <v>-38.58190825340865</v>
      </c>
      <c r="K310" s="95">
        <f t="shared" si="224"/>
        <v>-41.109940796077126</v>
      </c>
      <c r="L310" s="95">
        <f t="shared" si="224"/>
        <v>-45.01891908298729</v>
      </c>
      <c r="M310" s="95">
        <f t="shared" si="224"/>
        <v>-50.34517099794346</v>
      </c>
      <c r="N310" s="95">
        <f t="shared" si="224"/>
        <v>-55.670989982477614</v>
      </c>
      <c r="O310" s="95">
        <f t="shared" si="224"/>
        <v>-59.80805141521813</v>
      </c>
      <c r="P310" s="95">
        <f t="shared" si="224"/>
        <v>-62.7158311411556</v>
      </c>
      <c r="Q310" s="95">
        <f t="shared" si="224"/>
        <v>-64.67063927477712</v>
      </c>
      <c r="R310" s="95">
        <f t="shared" si="224"/>
        <v>-65.36339162880121</v>
      </c>
      <c r="S310" s="95">
        <f t="shared" si="224"/>
        <v>-64.65273380400963</v>
      </c>
      <c r="T310" s="95">
        <f t="shared" si="224"/>
        <v>-64.06963737691646</v>
      </c>
      <c r="U310" s="95">
        <f t="shared" si="224"/>
        <v>-66.56349227273198</v>
      </c>
      <c r="V310" s="95">
        <f t="shared" si="224"/>
        <v>-73.78530947334316</v>
      </c>
      <c r="W310" s="95">
        <f t="shared" si="224"/>
        <v>-83.26061633678678</v>
      </c>
      <c r="X310" s="95">
        <f t="shared" si="224"/>
        <v>-88.07550024934922</v>
      </c>
      <c r="Y310" s="95">
        <f t="shared" si="224"/>
        <v>-79.57043282027016</v>
      </c>
      <c r="Z310" s="95">
        <f t="shared" si="224"/>
        <v>-54.9613248149455</v>
      </c>
      <c r="AA310" s="155"/>
    </row>
    <row r="311" ht="15">
      <c r="A311" s="88"/>
    </row>
    <row r="312" spans="1:26" ht="16.5" thickBot="1">
      <c r="A312" s="50" t="s">
        <v>332</v>
      </c>
      <c r="B312" s="1">
        <f aca="true" t="shared" si="225" ref="B312:Z312">B308*B107+B309*B108+B310*B76</f>
        <v>19.28567270585226</v>
      </c>
      <c r="C312" s="1">
        <f t="shared" si="225"/>
        <v>3.9721881163793356</v>
      </c>
      <c r="D312" s="1">
        <f t="shared" si="225"/>
        <v>-2.3274772934464814</v>
      </c>
      <c r="E312" s="1">
        <f t="shared" si="225"/>
        <v>-0.25051299365043</v>
      </c>
      <c r="F312" s="1">
        <f t="shared" si="225"/>
        <v>0.6274260826969994</v>
      </c>
      <c r="G312" s="1">
        <f t="shared" si="225"/>
        <v>-1.0847033546995573</v>
      </c>
      <c r="H312" s="1">
        <f t="shared" si="225"/>
        <v>-2.894206333066001</v>
      </c>
      <c r="I312" s="1">
        <f t="shared" si="225"/>
        <v>-3.9025010514020724</v>
      </c>
      <c r="J312" s="1">
        <f t="shared" si="225"/>
        <v>-4.943779972247636</v>
      </c>
      <c r="K312" s="1">
        <f t="shared" si="225"/>
        <v>-6.609722282600188</v>
      </c>
      <c r="L312" s="1">
        <f t="shared" si="225"/>
        <v>-8.345361338297007</v>
      </c>
      <c r="M312" s="1">
        <f t="shared" si="225"/>
        <v>-9.26692519084052</v>
      </c>
      <c r="N312" s="1">
        <f t="shared" si="225"/>
        <v>-9.247836649967244</v>
      </c>
      <c r="O312" s="1">
        <f t="shared" si="225"/>
        <v>-8.8634528285746</v>
      </c>
      <c r="P312" s="1">
        <f t="shared" si="225"/>
        <v>-8.463980692788706</v>
      </c>
      <c r="Q312" s="1">
        <f t="shared" si="225"/>
        <v>-7.714802679097609</v>
      </c>
      <c r="R312" s="1">
        <f t="shared" si="225"/>
        <v>-6.165050109894009</v>
      </c>
      <c r="S312" s="1">
        <f t="shared" si="225"/>
        <v>-3.9953741597294554</v>
      </c>
      <c r="T312" s="1">
        <f t="shared" si="225"/>
        <v>-1.8503493453212627</v>
      </c>
      <c r="U312" s="1">
        <f t="shared" si="225"/>
        <v>0.23857589688465392</v>
      </c>
      <c r="V312" s="1">
        <f t="shared" si="225"/>
        <v>3.668755003504093</v>
      </c>
      <c r="W312" s="1">
        <f t="shared" si="225"/>
        <v>10.475774829516999</v>
      </c>
      <c r="X312" s="1">
        <f t="shared" si="225"/>
        <v>20.324119564267836</v>
      </c>
      <c r="Y312" s="1">
        <f t="shared" si="225"/>
        <v>26.56458143011171</v>
      </c>
      <c r="Z312" s="1">
        <f t="shared" si="225"/>
        <v>19.401419450035306</v>
      </c>
    </row>
    <row r="313" spans="1:26" ht="16.5" thickBot="1">
      <c r="A313" s="89" t="s">
        <v>317</v>
      </c>
      <c r="B313" s="1">
        <f>B312-(B262+B277+B242)</f>
        <v>0</v>
      </c>
      <c r="C313" s="1">
        <f aca="true" t="shared" si="226" ref="C313:Z313">C312-(C262+C277+C242)</f>
        <v>0</v>
      </c>
      <c r="D313" s="1">
        <f t="shared" si="226"/>
        <v>0</v>
      </c>
      <c r="E313" s="1">
        <f t="shared" si="226"/>
        <v>8.881784197001252E-16</v>
      </c>
      <c r="F313" s="1">
        <f t="shared" si="226"/>
        <v>0</v>
      </c>
      <c r="G313" s="1">
        <f t="shared" si="226"/>
        <v>0</v>
      </c>
      <c r="H313" s="1">
        <f t="shared" si="226"/>
        <v>0</v>
      </c>
      <c r="I313" s="1">
        <f t="shared" si="226"/>
        <v>0</v>
      </c>
      <c r="J313" s="1">
        <f t="shared" si="226"/>
        <v>0</v>
      </c>
      <c r="K313" s="1">
        <f t="shared" si="226"/>
        <v>0</v>
      </c>
      <c r="L313" s="1">
        <f t="shared" si="226"/>
        <v>0</v>
      </c>
      <c r="M313" s="1">
        <f t="shared" si="226"/>
        <v>0</v>
      </c>
      <c r="N313" s="1">
        <f t="shared" si="226"/>
        <v>0</v>
      </c>
      <c r="O313" s="1">
        <f t="shared" si="226"/>
        <v>0</v>
      </c>
      <c r="P313" s="1">
        <f t="shared" si="226"/>
        <v>0</v>
      </c>
      <c r="Q313" s="1">
        <f t="shared" si="226"/>
        <v>0</v>
      </c>
      <c r="R313" s="1">
        <f t="shared" si="226"/>
        <v>0</v>
      </c>
      <c r="S313" s="1">
        <f t="shared" si="226"/>
        <v>0</v>
      </c>
      <c r="T313" s="1">
        <f t="shared" si="226"/>
        <v>0</v>
      </c>
      <c r="U313" s="1">
        <f t="shared" si="226"/>
        <v>0</v>
      </c>
      <c r="V313" s="1">
        <f t="shared" si="226"/>
        <v>0</v>
      </c>
      <c r="W313" s="1">
        <f t="shared" si="226"/>
        <v>0</v>
      </c>
      <c r="X313" s="1">
        <f t="shared" si="226"/>
        <v>0</v>
      </c>
      <c r="Y313" s="1">
        <f t="shared" si="226"/>
        <v>0</v>
      </c>
      <c r="Z313" s="1">
        <f t="shared" si="226"/>
        <v>0</v>
      </c>
    </row>
    <row r="314" ht="15">
      <c r="A314" s="87"/>
    </row>
    <row r="315" ht="16.5" thickBot="1">
      <c r="A315" s="26" t="s">
        <v>170</v>
      </c>
    </row>
    <row r="316" spans="1:26" ht="15.75">
      <c r="A316" s="79" t="s">
        <v>333</v>
      </c>
      <c r="B316" s="25">
        <f aca="true" t="shared" si="227" ref="B316:Z316">B192*B185/B89</f>
        <v>-0.009688365910060526</v>
      </c>
      <c r="C316" s="25">
        <f t="shared" si="227"/>
        <v>0.0028222647285156173</v>
      </c>
      <c r="D316" s="25">
        <f t="shared" si="227"/>
        <v>0.0028578844650938187</v>
      </c>
      <c r="E316" s="25">
        <f t="shared" si="227"/>
        <v>-0.0070310108314858635</v>
      </c>
      <c r="F316" s="25">
        <f t="shared" si="227"/>
        <v>-0.011365608709316117</v>
      </c>
      <c r="G316" s="25">
        <f t="shared" si="227"/>
        <v>-0.008494836064918352</v>
      </c>
      <c r="H316" s="25">
        <f t="shared" si="227"/>
        <v>-0.003250728192259406</v>
      </c>
      <c r="I316" s="25">
        <f t="shared" si="227"/>
        <v>0.0007008096015001083</v>
      </c>
      <c r="J316" s="25">
        <f t="shared" si="227"/>
        <v>0.0021175017290877875</v>
      </c>
      <c r="K316" s="25">
        <f t="shared" si="227"/>
        <v>0.0013568722278897933</v>
      </c>
      <c r="L316" s="25">
        <f t="shared" si="227"/>
        <v>-0.0005278670693935203</v>
      </c>
      <c r="M316" s="25">
        <f t="shared" si="227"/>
        <v>-0.00238216217139135</v>
      </c>
      <c r="N316" s="25">
        <f t="shared" si="227"/>
        <v>-0.0033126590981873505</v>
      </c>
      <c r="O316" s="25">
        <f t="shared" si="227"/>
        <v>-0.0028553943867639727</v>
      </c>
      <c r="P316" s="25">
        <f t="shared" si="227"/>
        <v>-0.0009414903207204522</v>
      </c>
      <c r="Q316" s="25">
        <f t="shared" si="227"/>
        <v>0.0022645273620451934</v>
      </c>
      <c r="R316" s="25">
        <f t="shared" si="227"/>
        <v>0.006541220597312101</v>
      </c>
      <c r="S316" s="25">
        <f t="shared" si="227"/>
        <v>0.011719269462337279</v>
      </c>
      <c r="T316" s="25">
        <f t="shared" si="227"/>
        <v>0.017613988795171696</v>
      </c>
      <c r="U316" s="25">
        <f t="shared" si="227"/>
        <v>0.02359472951692915</v>
      </c>
      <c r="V316" s="25">
        <f t="shared" si="227"/>
        <v>0.02763093634694727</v>
      </c>
      <c r="W316" s="25">
        <f t="shared" si="227"/>
        <v>0.025283637325535697</v>
      </c>
      <c r="X316" s="25">
        <f t="shared" si="227"/>
        <v>0.011794432811698556</v>
      </c>
      <c r="Y316" s="25">
        <f t="shared" si="227"/>
        <v>-0.006953111867855604</v>
      </c>
      <c r="Z316" s="25">
        <f t="shared" si="227"/>
        <v>-0.009586160418425737</v>
      </c>
    </row>
    <row r="317" spans="1:26" ht="15.75">
      <c r="A317" s="49" t="s">
        <v>334</v>
      </c>
      <c r="B317" s="25">
        <f aca="true" t="shared" si="228" ref="B317:Z317">+(B193+$L$7)*B186/B90</f>
        <v>-2.0756914378680875</v>
      </c>
      <c r="C317" s="25">
        <f t="shared" si="228"/>
        <v>-2.6979732404300787</v>
      </c>
      <c r="D317" s="25">
        <f t="shared" si="228"/>
        <v>-3.4058231812306605</v>
      </c>
      <c r="E317" s="25">
        <f t="shared" si="228"/>
        <v>-3.9484885701430668</v>
      </c>
      <c r="F317" s="25">
        <f t="shared" si="228"/>
        <v>-4.174440875967843</v>
      </c>
      <c r="G317" s="25">
        <f t="shared" si="228"/>
        <v>-4.071312983757484</v>
      </c>
      <c r="H317" s="25">
        <f t="shared" si="228"/>
        <v>-3.7520783834737053</v>
      </c>
      <c r="I317" s="25">
        <f t="shared" si="228"/>
        <v>-3.357953665110909</v>
      </c>
      <c r="J317" s="25">
        <f t="shared" si="228"/>
        <v>-2.979100567625812</v>
      </c>
      <c r="K317" s="25">
        <f t="shared" si="228"/>
        <v>-2.651334607350073</v>
      </c>
      <c r="L317" s="25">
        <f t="shared" si="228"/>
        <v>-2.380852283621933</v>
      </c>
      <c r="M317" s="25">
        <f t="shared" si="228"/>
        <v>-2.162538074907403</v>
      </c>
      <c r="N317" s="25">
        <f t="shared" si="228"/>
        <v>-1.9882644378167509</v>
      </c>
      <c r="O317" s="25">
        <f t="shared" si="228"/>
        <v>-1.8499097877445057</v>
      </c>
      <c r="P317" s="25">
        <f t="shared" si="228"/>
        <v>-1.7404484142454362</v>
      </c>
      <c r="Q317" s="25">
        <f t="shared" si="228"/>
        <v>-1.6543233760133673</v>
      </c>
      <c r="R317" s="25">
        <f t="shared" si="228"/>
        <v>-1.5874242555940627</v>
      </c>
      <c r="S317" s="25">
        <f t="shared" si="228"/>
        <v>-1.5368990444699255</v>
      </c>
      <c r="T317" s="25">
        <f t="shared" si="228"/>
        <v>-1.501012136358716</v>
      </c>
      <c r="U317" s="25">
        <f t="shared" si="228"/>
        <v>-1.4791822905026453</v>
      </c>
      <c r="V317" s="25">
        <f t="shared" si="228"/>
        <v>-1.4725407852649621</v>
      </c>
      <c r="W317" s="25">
        <f t="shared" si="228"/>
        <v>-1.486657786253141</v>
      </c>
      <c r="X317" s="25">
        <f t="shared" si="228"/>
        <v>-1.5420805041848593</v>
      </c>
      <c r="Y317" s="25">
        <f t="shared" si="228"/>
        <v>-1.700428222671376</v>
      </c>
      <c r="Z317" s="25">
        <f t="shared" si="228"/>
        <v>-2.07254941414514</v>
      </c>
    </row>
    <row r="318" spans="1:26" ht="15.75">
      <c r="A318" s="49" t="s">
        <v>194</v>
      </c>
      <c r="B318" s="1">
        <f>B194</f>
        <v>-0.2004732219439098</v>
      </c>
      <c r="C318" s="1">
        <f aca="true" t="shared" si="229" ref="C318:Z318">C194</f>
        <v>0.3174558373361391</v>
      </c>
      <c r="D318" s="1">
        <f t="shared" si="229"/>
        <v>0.6842620780847488</v>
      </c>
      <c r="E318" s="1">
        <f t="shared" si="229"/>
        <v>0.7499288245481458</v>
      </c>
      <c r="F318" s="1">
        <f t="shared" si="229"/>
        <v>0.6403517089431856</v>
      </c>
      <c r="G318" s="1">
        <f t="shared" si="229"/>
        <v>0.4856279890806129</v>
      </c>
      <c r="H318" s="1">
        <f t="shared" si="229"/>
        <v>0.3405232019519819</v>
      </c>
      <c r="I318" s="1">
        <f t="shared" si="229"/>
        <v>0.21962009062157015</v>
      </c>
      <c r="J318" s="1">
        <f t="shared" si="229"/>
        <v>0.12314367596587901</v>
      </c>
      <c r="K318" s="1">
        <f t="shared" si="229"/>
        <v>0.04705482096832519</v>
      </c>
      <c r="L318" s="1">
        <f t="shared" si="229"/>
        <v>-0.012633147626007523</v>
      </c>
      <c r="M318" s="1">
        <f t="shared" si="229"/>
        <v>-0.05851608447425949</v>
      </c>
      <c r="N318" s="1">
        <f t="shared" si="229"/>
        <v>-0.09248071334267714</v>
      </c>
      <c r="O318" s="1">
        <f t="shared" si="229"/>
        <v>-0.11679896801633514</v>
      </c>
      <c r="P318" s="1">
        <f t="shared" si="229"/>
        <v>-0.13447815403651167</v>
      </c>
      <c r="Q318" s="1">
        <f t="shared" si="229"/>
        <v>-0.14907448119466102</v>
      </c>
      <c r="R318" s="1">
        <f t="shared" si="229"/>
        <v>-0.16472205567743525</v>
      </c>
      <c r="S318" s="1">
        <f t="shared" si="229"/>
        <v>-0.1865796809497719</v>
      </c>
      <c r="T318" s="1">
        <f t="shared" si="229"/>
        <v>-0.22136458124950584</v>
      </c>
      <c r="U318" s="1">
        <f t="shared" si="229"/>
        <v>-0.2774996343817854</v>
      </c>
      <c r="V318" s="1">
        <f t="shared" si="229"/>
        <v>-0.36340808124380986</v>
      </c>
      <c r="W318" s="1">
        <f t="shared" si="229"/>
        <v>-0.4781734757958294</v>
      </c>
      <c r="X318" s="1">
        <f t="shared" si="229"/>
        <v>-0.5809243359691169</v>
      </c>
      <c r="Y318" s="1">
        <f t="shared" si="229"/>
        <v>-0.542922653742349</v>
      </c>
      <c r="Z318" s="1">
        <f t="shared" si="229"/>
        <v>-0.2092451641167932</v>
      </c>
    </row>
    <row r="319" ht="15">
      <c r="A319" s="88"/>
    </row>
    <row r="320" spans="1:26" ht="16.5" thickBot="1">
      <c r="A320" s="50" t="s">
        <v>335</v>
      </c>
      <c r="B320" s="1">
        <f aca="true" t="shared" si="230" ref="B320:Z320">B316*B89+B317*B90+B318*B76</f>
        <v>-2.7587903006114805</v>
      </c>
      <c r="C320" s="1">
        <f t="shared" si="230"/>
        <v>-3.209837643827916</v>
      </c>
      <c r="D320" s="1">
        <f t="shared" si="230"/>
        <v>-2.7200650093988563</v>
      </c>
      <c r="E320" s="1">
        <f t="shared" si="230"/>
        <v>-1.567971741522049</v>
      </c>
      <c r="F320" s="1">
        <f t="shared" si="230"/>
        <v>-0.43204544251859117</v>
      </c>
      <c r="G320" s="1">
        <f t="shared" si="230"/>
        <v>0.4141067977013816</v>
      </c>
      <c r="H320" s="1">
        <f t="shared" si="230"/>
        <v>0.9801011294318228</v>
      </c>
      <c r="I320" s="1">
        <f t="shared" si="230"/>
        <v>1.3338916804327798</v>
      </c>
      <c r="J320" s="1">
        <f t="shared" si="230"/>
        <v>1.5318271327099777</v>
      </c>
      <c r="K320" s="1">
        <f t="shared" si="230"/>
        <v>1.612397256300625</v>
      </c>
      <c r="L320" s="1">
        <f t="shared" si="230"/>
        <v>1.6029069185754643</v>
      </c>
      <c r="M320" s="1">
        <f t="shared" si="230"/>
        <v>1.5255866455784284</v>
      </c>
      <c r="N320" s="1">
        <f t="shared" si="230"/>
        <v>1.4001106521498057</v>
      </c>
      <c r="O320" s="1">
        <f t="shared" si="230"/>
        <v>1.2432074598332779</v>
      </c>
      <c r="P320" s="1">
        <f t="shared" si="230"/>
        <v>1.0673639806854305</v>
      </c>
      <c r="Q320" s="1">
        <f t="shared" si="230"/>
        <v>0.8799688973065589</v>
      </c>
      <c r="R320" s="1">
        <f t="shared" si="230"/>
        <v>0.6830279176382061</v>
      </c>
      <c r="S320" s="1">
        <f t="shared" si="230"/>
        <v>0.4730121173918775</v>
      </c>
      <c r="T320" s="1">
        <f t="shared" si="230"/>
        <v>0.2405532837919333</v>
      </c>
      <c r="U320" s="1">
        <f t="shared" si="230"/>
        <v>-0.029712901835794992</v>
      </c>
      <c r="V320" s="1">
        <f t="shared" si="230"/>
        <v>-0.3579373297867337</v>
      </c>
      <c r="W320" s="1">
        <f t="shared" si="230"/>
        <v>-0.7652051584199597</v>
      </c>
      <c r="X320" s="1">
        <f t="shared" si="230"/>
        <v>-1.2742376651237342</v>
      </c>
      <c r="Y320" s="1">
        <f t="shared" si="230"/>
        <v>-1.93417615228766</v>
      </c>
      <c r="Z320" s="1">
        <f t="shared" si="230"/>
        <v>-2.740324752893339</v>
      </c>
    </row>
    <row r="321" spans="1:26" ht="16.5" thickBot="1">
      <c r="A321" s="89" t="s">
        <v>317</v>
      </c>
      <c r="B321" s="25">
        <f aca="true" t="shared" si="231" ref="B321:Z321">B320-B198</f>
        <v>0</v>
      </c>
      <c r="C321" s="25">
        <f t="shared" si="231"/>
        <v>0</v>
      </c>
      <c r="D321" s="25">
        <f t="shared" si="231"/>
        <v>0</v>
      </c>
      <c r="E321" s="25">
        <f t="shared" si="231"/>
        <v>0</v>
      </c>
      <c r="F321" s="25">
        <f t="shared" si="231"/>
        <v>0</v>
      </c>
      <c r="G321" s="25">
        <f t="shared" si="231"/>
        <v>0</v>
      </c>
      <c r="H321" s="25">
        <f t="shared" si="231"/>
        <v>0</v>
      </c>
      <c r="I321" s="25">
        <f t="shared" si="231"/>
        <v>0</v>
      </c>
      <c r="J321" s="25">
        <f t="shared" si="231"/>
        <v>0</v>
      </c>
      <c r="K321" s="25">
        <f t="shared" si="231"/>
        <v>0</v>
      </c>
      <c r="L321" s="25">
        <f t="shared" si="231"/>
        <v>0</v>
      </c>
      <c r="M321" s="25">
        <f t="shared" si="231"/>
        <v>0</v>
      </c>
      <c r="N321" s="25">
        <f t="shared" si="231"/>
        <v>0</v>
      </c>
      <c r="O321" s="25">
        <f t="shared" si="231"/>
        <v>0</v>
      </c>
      <c r="P321" s="25">
        <f t="shared" si="231"/>
        <v>0</v>
      </c>
      <c r="Q321" s="25">
        <f t="shared" si="231"/>
        <v>0</v>
      </c>
      <c r="R321" s="25">
        <f t="shared" si="231"/>
        <v>0</v>
      </c>
      <c r="S321" s="25">
        <f t="shared" si="231"/>
        <v>0</v>
      </c>
      <c r="T321" s="25">
        <f t="shared" si="231"/>
        <v>0</v>
      </c>
      <c r="U321" s="25">
        <f t="shared" si="231"/>
        <v>0</v>
      </c>
      <c r="V321" s="25">
        <f t="shared" si="231"/>
        <v>0</v>
      </c>
      <c r="W321" s="25">
        <f t="shared" si="231"/>
        <v>0</v>
      </c>
      <c r="X321" s="25">
        <f t="shared" si="231"/>
        <v>0</v>
      </c>
      <c r="Y321" s="25">
        <f t="shared" si="231"/>
        <v>0</v>
      </c>
      <c r="Z321" s="25">
        <f t="shared" si="231"/>
        <v>0</v>
      </c>
    </row>
    <row r="322" ht="16.5" thickBot="1">
      <c r="A322" s="26" t="s">
        <v>336</v>
      </c>
    </row>
    <row r="323" spans="1:26" ht="15.75">
      <c r="A323" s="79" t="s">
        <v>333</v>
      </c>
      <c r="B323" s="25">
        <f aca="true" t="shared" si="232" ref="B323:Z323">B299*B107/B89</f>
        <v>-0.7878416650233828</v>
      </c>
      <c r="C323" s="25">
        <f t="shared" si="232"/>
        <v>-2.553812623933988</v>
      </c>
      <c r="D323" s="25">
        <f t="shared" si="232"/>
        <v>-3.167215999631466</v>
      </c>
      <c r="E323" s="25">
        <f t="shared" si="232"/>
        <v>-2.1277681857179322</v>
      </c>
      <c r="F323" s="25">
        <f t="shared" si="232"/>
        <v>-0.8425094464965149</v>
      </c>
      <c r="G323" s="25">
        <f t="shared" si="232"/>
        <v>-0.7821337361781056</v>
      </c>
      <c r="H323" s="25">
        <f t="shared" si="232"/>
        <v>-1.9447070656556567</v>
      </c>
      <c r="I323" s="25">
        <f t="shared" si="232"/>
        <v>-3.012313575906559</v>
      </c>
      <c r="J323" s="25">
        <f t="shared" si="232"/>
        <v>-2.7551236925565634</v>
      </c>
      <c r="K323" s="25">
        <f t="shared" si="232"/>
        <v>-1.2887319757966023</v>
      </c>
      <c r="L323" s="25">
        <f t="shared" si="232"/>
        <v>0.031122585377014605</v>
      </c>
      <c r="M323" s="25">
        <f t="shared" si="232"/>
        <v>-0.04075689277828236</v>
      </c>
      <c r="N323" s="25">
        <f t="shared" si="232"/>
        <v>-1.394513836908777</v>
      </c>
      <c r="O323" s="25">
        <f t="shared" si="232"/>
        <v>-2.67180788722691</v>
      </c>
      <c r="P323" s="25">
        <f t="shared" si="232"/>
        <v>-2.6177869747428546</v>
      </c>
      <c r="Q323" s="25">
        <f t="shared" si="232"/>
        <v>-1.3277622700959848</v>
      </c>
      <c r="R323" s="25">
        <f t="shared" si="232"/>
        <v>-0.14378132916641115</v>
      </c>
      <c r="S323" s="25">
        <f t="shared" si="232"/>
        <v>-0.3059753757149047</v>
      </c>
      <c r="T323" s="25">
        <f t="shared" si="232"/>
        <v>-1.706814145687224</v>
      </c>
      <c r="U323" s="25">
        <f t="shared" si="232"/>
        <v>-2.990414998247396</v>
      </c>
      <c r="V323" s="25">
        <f t="shared" si="232"/>
        <v>-2.8894720201647472</v>
      </c>
      <c r="W323" s="25">
        <f t="shared" si="232"/>
        <v>-1.4509555170276438</v>
      </c>
      <c r="X323" s="25">
        <f t="shared" si="232"/>
        <v>0.06534742282379773</v>
      </c>
      <c r="Y323" s="25">
        <f t="shared" si="232"/>
        <v>0.392250305116199</v>
      </c>
      <c r="Z323" s="25">
        <f t="shared" si="232"/>
        <v>-0.7888870426562675</v>
      </c>
    </row>
    <row r="324" spans="1:26" ht="15.75">
      <c r="A324" s="49" t="s">
        <v>334</v>
      </c>
      <c r="B324" s="25">
        <f aca="true" t="shared" si="233" ref="B324:Z324">B300*B108/B90</f>
        <v>-5.101523208754783</v>
      </c>
      <c r="C324" s="25">
        <f t="shared" si="233"/>
        <v>-4.648528698348495</v>
      </c>
      <c r="D324" s="25">
        <f t="shared" si="233"/>
        <v>-4.390264226541079</v>
      </c>
      <c r="E324" s="25">
        <f t="shared" si="233"/>
        <v>-4.2046860055927455</v>
      </c>
      <c r="F324" s="25">
        <f t="shared" si="233"/>
        <v>-3.7991980180556504</v>
      </c>
      <c r="G324" s="25">
        <f t="shared" si="233"/>
        <v>-3.3621775095892907</v>
      </c>
      <c r="H324" s="25">
        <f t="shared" si="233"/>
        <v>-3.2880148169892824</v>
      </c>
      <c r="I324" s="25">
        <f t="shared" si="233"/>
        <v>-3.763826149419466</v>
      </c>
      <c r="J324" s="25">
        <f t="shared" si="233"/>
        <v>-4.621615463350118</v>
      </c>
      <c r="K324" s="25">
        <f t="shared" si="233"/>
        <v>-5.44723850076186</v>
      </c>
      <c r="L324" s="25">
        <f t="shared" si="233"/>
        <v>-5.833749177447665</v>
      </c>
      <c r="M324" s="25">
        <f t="shared" si="233"/>
        <v>-5.623958703909298</v>
      </c>
      <c r="N324" s="25">
        <f t="shared" si="233"/>
        <v>-5.003535685913558</v>
      </c>
      <c r="O324" s="25">
        <f t="shared" si="233"/>
        <v>-4.392126233843526</v>
      </c>
      <c r="P324" s="25">
        <f t="shared" si="233"/>
        <v>-4.196883942283928</v>
      </c>
      <c r="Q324" s="25">
        <f t="shared" si="233"/>
        <v>-4.57422278344788</v>
      </c>
      <c r="R324" s="25">
        <f t="shared" si="233"/>
        <v>-5.3410384137303195</v>
      </c>
      <c r="S324" s="25">
        <f t="shared" si="233"/>
        <v>-6.087812461909969</v>
      </c>
      <c r="T324" s="25">
        <f t="shared" si="233"/>
        <v>-6.426765769683635</v>
      </c>
      <c r="U324" s="25">
        <f t="shared" si="233"/>
        <v>-6.228714533413823</v>
      </c>
      <c r="V324" s="25">
        <f t="shared" si="233"/>
        <v>-5.705514729360884</v>
      </c>
      <c r="W324" s="25">
        <f t="shared" si="233"/>
        <v>-5.270755075990758</v>
      </c>
      <c r="X324" s="25">
        <f t="shared" si="233"/>
        <v>-5.209530568361297</v>
      </c>
      <c r="Y324" s="25">
        <f t="shared" si="233"/>
        <v>-5.329955519734605</v>
      </c>
      <c r="Z324" s="25">
        <f t="shared" si="233"/>
        <v>-5.1224433749187055</v>
      </c>
    </row>
    <row r="325" spans="1:27" s="101" customFormat="1" ht="15.75">
      <c r="A325" s="99" t="s">
        <v>194</v>
      </c>
      <c r="B325" s="100">
        <f aca="true" t="shared" si="234" ref="B325:Z325">B301*B123/B76</f>
        <v>-54.536218856292564</v>
      </c>
      <c r="C325" s="100">
        <f t="shared" si="234"/>
        <v>-27.193895946381797</v>
      </c>
      <c r="D325" s="100">
        <f t="shared" si="234"/>
        <v>-13.370029105051675</v>
      </c>
      <c r="E325" s="100">
        <f t="shared" si="234"/>
        <v>-13.514358933988412</v>
      </c>
      <c r="F325" s="100">
        <f t="shared" si="234"/>
        <v>-19.03778715691563</v>
      </c>
      <c r="G325" s="100">
        <f t="shared" si="234"/>
        <v>-25.521570693211608</v>
      </c>
      <c r="H325" s="100">
        <f t="shared" si="234"/>
        <v>-31.467454743431926</v>
      </c>
      <c r="I325" s="100">
        <f t="shared" si="234"/>
        <v>-35.8411301538962</v>
      </c>
      <c r="J325" s="100">
        <f t="shared" si="234"/>
        <v>-38.58190825340865</v>
      </c>
      <c r="K325" s="100">
        <f t="shared" si="234"/>
        <v>-41.109940796077126</v>
      </c>
      <c r="L325" s="100">
        <f t="shared" si="234"/>
        <v>-45.01891908298729</v>
      </c>
      <c r="M325" s="100">
        <f t="shared" si="234"/>
        <v>-50.34517099794346</v>
      </c>
      <c r="N325" s="100">
        <f t="shared" si="234"/>
        <v>-55.670989982477614</v>
      </c>
      <c r="O325" s="100">
        <f t="shared" si="234"/>
        <v>-59.80805141521813</v>
      </c>
      <c r="P325" s="100">
        <f t="shared" si="234"/>
        <v>-62.7158311411556</v>
      </c>
      <c r="Q325" s="100">
        <f t="shared" si="234"/>
        <v>-64.67063927477712</v>
      </c>
      <c r="R325" s="100">
        <f t="shared" si="234"/>
        <v>-65.36339162880121</v>
      </c>
      <c r="S325" s="100">
        <f t="shared" si="234"/>
        <v>-64.65273380400963</v>
      </c>
      <c r="T325" s="100">
        <f t="shared" si="234"/>
        <v>-64.06963737691646</v>
      </c>
      <c r="U325" s="100">
        <f t="shared" si="234"/>
        <v>-66.56349227273198</v>
      </c>
      <c r="V325" s="100">
        <f t="shared" si="234"/>
        <v>-73.78530947334316</v>
      </c>
      <c r="W325" s="100">
        <f t="shared" si="234"/>
        <v>-83.26061633678678</v>
      </c>
      <c r="X325" s="100">
        <f t="shared" si="234"/>
        <v>-88.07550024934922</v>
      </c>
      <c r="Y325" s="100">
        <f t="shared" si="234"/>
        <v>-79.57043282027016</v>
      </c>
      <c r="Z325" s="100">
        <f t="shared" si="234"/>
        <v>-54.9613248149455</v>
      </c>
      <c r="AA325" s="157"/>
    </row>
    <row r="326" ht="15">
      <c r="A326" s="88"/>
    </row>
    <row r="327" spans="1:26" ht="16.5" thickBot="1">
      <c r="A327" s="50" t="s">
        <v>335</v>
      </c>
      <c r="B327" s="25">
        <f aca="true" t="shared" si="235" ref="B327:Z327">B323*B89+B324*B90+B325*B76</f>
        <v>19.28567270585226</v>
      </c>
      <c r="C327" s="25">
        <f t="shared" si="235"/>
        <v>3.9721881163793356</v>
      </c>
      <c r="D327" s="25">
        <f t="shared" si="235"/>
        <v>-2.3274772934464814</v>
      </c>
      <c r="E327" s="25">
        <f t="shared" si="235"/>
        <v>-0.25051299365043</v>
      </c>
      <c r="F327" s="25">
        <f t="shared" si="235"/>
        <v>0.6274260826969994</v>
      </c>
      <c r="G327" s="25">
        <f t="shared" si="235"/>
        <v>-1.0847033546995573</v>
      </c>
      <c r="H327" s="25">
        <f t="shared" si="235"/>
        <v>-2.894206333066001</v>
      </c>
      <c r="I327" s="25">
        <f t="shared" si="235"/>
        <v>-3.9025010514020724</v>
      </c>
      <c r="J327" s="25">
        <f t="shared" si="235"/>
        <v>-4.943779972247636</v>
      </c>
      <c r="K327" s="25">
        <f t="shared" si="235"/>
        <v>-6.609722282600188</v>
      </c>
      <c r="L327" s="25">
        <f t="shared" si="235"/>
        <v>-8.345361338297007</v>
      </c>
      <c r="M327" s="25">
        <f t="shared" si="235"/>
        <v>-9.26692519084052</v>
      </c>
      <c r="N327" s="25">
        <f t="shared" si="235"/>
        <v>-9.247836649967244</v>
      </c>
      <c r="O327" s="25">
        <f t="shared" si="235"/>
        <v>-8.8634528285746</v>
      </c>
      <c r="P327" s="25">
        <f t="shared" si="235"/>
        <v>-8.463980692788706</v>
      </c>
      <c r="Q327" s="25">
        <f t="shared" si="235"/>
        <v>-7.714802679097609</v>
      </c>
      <c r="R327" s="25">
        <f t="shared" si="235"/>
        <v>-6.165050109894009</v>
      </c>
      <c r="S327" s="25">
        <f t="shared" si="235"/>
        <v>-3.9953741597294554</v>
      </c>
      <c r="T327" s="25">
        <f t="shared" si="235"/>
        <v>-1.8503493453212627</v>
      </c>
      <c r="U327" s="25">
        <f t="shared" si="235"/>
        <v>0.23857589688465392</v>
      </c>
      <c r="V327" s="25">
        <f t="shared" si="235"/>
        <v>3.668755003504093</v>
      </c>
      <c r="W327" s="25">
        <f t="shared" si="235"/>
        <v>10.475774829516999</v>
      </c>
      <c r="X327" s="25">
        <f t="shared" si="235"/>
        <v>20.324119564267836</v>
      </c>
      <c r="Y327" s="25">
        <f t="shared" si="235"/>
        <v>26.56458143011171</v>
      </c>
      <c r="Z327" s="25">
        <f t="shared" si="235"/>
        <v>19.401419450035306</v>
      </c>
    </row>
    <row r="328" spans="1:26" ht="16.5" thickBot="1">
      <c r="A328" s="89" t="s">
        <v>317</v>
      </c>
      <c r="B328" s="1">
        <f>B327-(B242+B262+B277)</f>
        <v>0</v>
      </c>
      <c r="C328" s="1">
        <f aca="true" t="shared" si="236" ref="C328:Z328">C327-(C242+C262+C277)</f>
        <v>0</v>
      </c>
      <c r="D328" s="1">
        <f t="shared" si="236"/>
        <v>0</v>
      </c>
      <c r="E328" s="1">
        <f t="shared" si="236"/>
        <v>8.881784197001252E-16</v>
      </c>
      <c r="F328" s="1">
        <f t="shared" si="236"/>
        <v>0</v>
      </c>
      <c r="G328" s="1">
        <f t="shared" si="236"/>
        <v>0</v>
      </c>
      <c r="H328" s="1">
        <f t="shared" si="236"/>
        <v>0</v>
      </c>
      <c r="I328" s="1">
        <f t="shared" si="236"/>
        <v>0</v>
      </c>
      <c r="J328" s="1">
        <f t="shared" si="236"/>
        <v>0</v>
      </c>
      <c r="K328" s="1">
        <f t="shared" si="236"/>
        <v>0</v>
      </c>
      <c r="L328" s="1">
        <f t="shared" si="236"/>
        <v>0</v>
      </c>
      <c r="M328" s="1">
        <f t="shared" si="236"/>
        <v>0</v>
      </c>
      <c r="N328" s="1">
        <f t="shared" si="236"/>
        <v>0</v>
      </c>
      <c r="O328" s="1">
        <f t="shared" si="236"/>
        <v>0</v>
      </c>
      <c r="P328" s="1">
        <f t="shared" si="236"/>
        <v>0</v>
      </c>
      <c r="Q328" s="1">
        <f t="shared" si="236"/>
        <v>0</v>
      </c>
      <c r="R328" s="1">
        <f t="shared" si="236"/>
        <v>0</v>
      </c>
      <c r="S328" s="1">
        <f t="shared" si="236"/>
        <v>0</v>
      </c>
      <c r="T328" s="1">
        <f t="shared" si="236"/>
        <v>0</v>
      </c>
      <c r="U328" s="1">
        <f t="shared" si="236"/>
        <v>0</v>
      </c>
      <c r="V328" s="1">
        <f t="shared" si="236"/>
        <v>0</v>
      </c>
      <c r="W328" s="1">
        <f t="shared" si="236"/>
        <v>0</v>
      </c>
      <c r="X328" s="1">
        <f t="shared" si="236"/>
        <v>0</v>
      </c>
      <c r="Y328" s="1">
        <f t="shared" si="236"/>
        <v>0</v>
      </c>
      <c r="Z328" s="1">
        <f t="shared" si="236"/>
        <v>0</v>
      </c>
    </row>
    <row r="330" spans="1:2" ht="16.5" thickBot="1">
      <c r="A330" s="26" t="s">
        <v>171</v>
      </c>
      <c r="B330" s="26"/>
    </row>
    <row r="331" spans="1:26" ht="15.75">
      <c r="A331" s="79" t="s">
        <v>333</v>
      </c>
      <c r="B331" s="1">
        <f aca="true" t="shared" si="237" ref="B331:Z331">B316+B323</f>
        <v>-0.7975300309334433</v>
      </c>
      <c r="C331" s="1">
        <f t="shared" si="237"/>
        <v>-2.550990359205472</v>
      </c>
      <c r="D331" s="1">
        <f t="shared" si="237"/>
        <v>-3.1643581151663724</v>
      </c>
      <c r="E331" s="1">
        <f t="shared" si="237"/>
        <v>-2.134799196549418</v>
      </c>
      <c r="F331" s="1">
        <f t="shared" si="237"/>
        <v>-0.8538750552058311</v>
      </c>
      <c r="G331" s="1">
        <f t="shared" si="237"/>
        <v>-0.7906285722430239</v>
      </c>
      <c r="H331" s="1">
        <f t="shared" si="237"/>
        <v>-1.947957793847916</v>
      </c>
      <c r="I331" s="1">
        <f t="shared" si="237"/>
        <v>-3.011612766305059</v>
      </c>
      <c r="J331" s="1">
        <f t="shared" si="237"/>
        <v>-2.7530061908274757</v>
      </c>
      <c r="K331" s="1">
        <f t="shared" si="237"/>
        <v>-1.2873751035687124</v>
      </c>
      <c r="L331" s="1">
        <f t="shared" si="237"/>
        <v>0.030594718307621085</v>
      </c>
      <c r="M331" s="1">
        <f t="shared" si="237"/>
        <v>-0.04313905494967371</v>
      </c>
      <c r="N331" s="1">
        <f t="shared" si="237"/>
        <v>-1.3978264960069644</v>
      </c>
      <c r="O331" s="1">
        <f t="shared" si="237"/>
        <v>-2.674663281613674</v>
      </c>
      <c r="P331" s="1">
        <f t="shared" si="237"/>
        <v>-2.618728465063575</v>
      </c>
      <c r="Q331" s="1">
        <f t="shared" si="237"/>
        <v>-1.3254977427339396</v>
      </c>
      <c r="R331" s="1">
        <f t="shared" si="237"/>
        <v>-0.13724010856909905</v>
      </c>
      <c r="S331" s="1">
        <f t="shared" si="237"/>
        <v>-0.29425610625256743</v>
      </c>
      <c r="T331" s="1">
        <f t="shared" si="237"/>
        <v>-1.6892001568920523</v>
      </c>
      <c r="U331" s="1">
        <f t="shared" si="237"/>
        <v>-2.966820268730467</v>
      </c>
      <c r="V331" s="1">
        <f t="shared" si="237"/>
        <v>-2.8618410838178</v>
      </c>
      <c r="W331" s="1">
        <f t="shared" si="237"/>
        <v>-1.4256718797021082</v>
      </c>
      <c r="X331" s="1">
        <f t="shared" si="237"/>
        <v>0.07714185563549628</v>
      </c>
      <c r="Y331" s="1">
        <f t="shared" si="237"/>
        <v>0.38529719324834344</v>
      </c>
      <c r="Z331" s="1">
        <f t="shared" si="237"/>
        <v>-0.7984732030746933</v>
      </c>
    </row>
    <row r="332" spans="1:26" ht="15.75">
      <c r="A332" s="49" t="s">
        <v>334</v>
      </c>
      <c r="B332" s="1">
        <f aca="true" t="shared" si="238" ref="B332:Z332">B317+B324</f>
        <v>-7.17721464662287</v>
      </c>
      <c r="C332" s="1">
        <f t="shared" si="238"/>
        <v>-7.346501938778574</v>
      </c>
      <c r="D332" s="1">
        <f t="shared" si="238"/>
        <v>-7.79608740777174</v>
      </c>
      <c r="E332" s="1">
        <f t="shared" si="238"/>
        <v>-8.153174575735813</v>
      </c>
      <c r="F332" s="1">
        <f t="shared" si="238"/>
        <v>-7.973638894023493</v>
      </c>
      <c r="G332" s="1">
        <f t="shared" si="238"/>
        <v>-7.433490493346775</v>
      </c>
      <c r="H332" s="1">
        <f t="shared" si="238"/>
        <v>-7.040093200462987</v>
      </c>
      <c r="I332" s="1">
        <f t="shared" si="238"/>
        <v>-7.121779814530376</v>
      </c>
      <c r="J332" s="1">
        <f t="shared" si="238"/>
        <v>-7.60071603097593</v>
      </c>
      <c r="K332" s="1">
        <f t="shared" si="238"/>
        <v>-8.098573108111934</v>
      </c>
      <c r="L332" s="1">
        <f t="shared" si="238"/>
        <v>-8.214601461069599</v>
      </c>
      <c r="M332" s="1">
        <f t="shared" si="238"/>
        <v>-7.786496778816701</v>
      </c>
      <c r="N332" s="1">
        <f t="shared" si="238"/>
        <v>-6.991800123730309</v>
      </c>
      <c r="O332" s="1">
        <f t="shared" si="238"/>
        <v>-6.2420360215880315</v>
      </c>
      <c r="P332" s="1">
        <f t="shared" si="238"/>
        <v>-5.937332356529364</v>
      </c>
      <c r="Q332" s="1">
        <f t="shared" si="238"/>
        <v>-6.2285461594612475</v>
      </c>
      <c r="R332" s="1">
        <f t="shared" si="238"/>
        <v>-6.928462669324382</v>
      </c>
      <c r="S332" s="1">
        <f t="shared" si="238"/>
        <v>-7.624711506379895</v>
      </c>
      <c r="T332" s="1">
        <f t="shared" si="238"/>
        <v>-7.927777906042351</v>
      </c>
      <c r="U332" s="1">
        <f t="shared" si="238"/>
        <v>-7.707896823916469</v>
      </c>
      <c r="V332" s="1">
        <f t="shared" si="238"/>
        <v>-7.178055514625846</v>
      </c>
      <c r="W332" s="1">
        <f t="shared" si="238"/>
        <v>-6.757412862243899</v>
      </c>
      <c r="X332" s="1">
        <f t="shared" si="238"/>
        <v>-6.751611072546156</v>
      </c>
      <c r="Y332" s="1">
        <f t="shared" si="238"/>
        <v>-7.030383742405981</v>
      </c>
      <c r="Z332" s="1">
        <f t="shared" si="238"/>
        <v>-7.194992789063845</v>
      </c>
    </row>
    <row r="333" spans="1:27" s="101" customFormat="1" ht="15.75">
      <c r="A333" s="99" t="s">
        <v>194</v>
      </c>
      <c r="B333" s="100">
        <f aca="true" t="shared" si="239" ref="B333:Z333">B318+B325</f>
        <v>-54.73669207823647</v>
      </c>
      <c r="C333" s="100">
        <f t="shared" si="239"/>
        <v>-26.876440109045657</v>
      </c>
      <c r="D333" s="100">
        <f t="shared" si="239"/>
        <v>-12.685767026966925</v>
      </c>
      <c r="E333" s="100">
        <f t="shared" si="239"/>
        <v>-12.764430109440266</v>
      </c>
      <c r="F333" s="100">
        <f t="shared" si="239"/>
        <v>-18.397435447972445</v>
      </c>
      <c r="G333" s="100">
        <f t="shared" si="239"/>
        <v>-25.035942704130996</v>
      </c>
      <c r="H333" s="100">
        <f t="shared" si="239"/>
        <v>-31.126931541479944</v>
      </c>
      <c r="I333" s="100">
        <f t="shared" si="239"/>
        <v>-35.621510063274634</v>
      </c>
      <c r="J333" s="100">
        <f t="shared" si="239"/>
        <v>-38.45876457744277</v>
      </c>
      <c r="K333" s="100">
        <f t="shared" si="239"/>
        <v>-41.0628859751088</v>
      </c>
      <c r="L333" s="100">
        <f t="shared" si="239"/>
        <v>-45.03155223061329</v>
      </c>
      <c r="M333" s="100">
        <f t="shared" si="239"/>
        <v>-50.40368708241772</v>
      </c>
      <c r="N333" s="100">
        <f t="shared" si="239"/>
        <v>-55.76347069582029</v>
      </c>
      <c r="O333" s="100">
        <f t="shared" si="239"/>
        <v>-59.924850383234464</v>
      </c>
      <c r="P333" s="100">
        <f t="shared" si="239"/>
        <v>-62.85030929519211</v>
      </c>
      <c r="Q333" s="100">
        <f t="shared" si="239"/>
        <v>-64.81971375597178</v>
      </c>
      <c r="R333" s="100">
        <f t="shared" si="239"/>
        <v>-65.52811368447864</v>
      </c>
      <c r="S333" s="100">
        <f t="shared" si="239"/>
        <v>-64.8393134849594</v>
      </c>
      <c r="T333" s="100">
        <f t="shared" si="239"/>
        <v>-64.29100195816596</v>
      </c>
      <c r="U333" s="100">
        <f t="shared" si="239"/>
        <v>-66.84099190711376</v>
      </c>
      <c r="V333" s="100">
        <f t="shared" si="239"/>
        <v>-74.14871755458697</v>
      </c>
      <c r="W333" s="100">
        <f t="shared" si="239"/>
        <v>-83.73878981258261</v>
      </c>
      <c r="X333" s="100">
        <f t="shared" si="239"/>
        <v>-88.65642458531833</v>
      </c>
      <c r="Y333" s="100">
        <f t="shared" si="239"/>
        <v>-80.11335547401251</v>
      </c>
      <c r="Z333" s="100">
        <f t="shared" si="239"/>
        <v>-55.17056997906229</v>
      </c>
      <c r="AA333" s="157"/>
    </row>
    <row r="334" ht="15">
      <c r="A334" s="88"/>
    </row>
    <row r="335" spans="1:26" ht="16.5" thickBot="1">
      <c r="A335" s="50" t="s">
        <v>335</v>
      </c>
      <c r="B335" s="25">
        <f aca="true" t="shared" si="240" ref="B335:Z335">B331*B89+B332*B90+B333*B76</f>
        <v>16.52688240524078</v>
      </c>
      <c r="C335" s="25">
        <f t="shared" si="240"/>
        <v>0.7623504725514199</v>
      </c>
      <c r="D335" s="25">
        <f t="shared" si="240"/>
        <v>-5.047542302845338</v>
      </c>
      <c r="E335" s="25">
        <f t="shared" si="240"/>
        <v>-1.8184847351724795</v>
      </c>
      <c r="F335" s="25">
        <f t="shared" si="240"/>
        <v>0.19538064017840817</v>
      </c>
      <c r="G335" s="25">
        <f t="shared" si="240"/>
        <v>-0.6705965569981758</v>
      </c>
      <c r="H335" s="25">
        <f t="shared" si="240"/>
        <v>-1.9141052036341781</v>
      </c>
      <c r="I335" s="25">
        <f t="shared" si="240"/>
        <v>-2.568609370969293</v>
      </c>
      <c r="J335" s="25">
        <f t="shared" si="240"/>
        <v>-3.41195283953766</v>
      </c>
      <c r="K335" s="25">
        <f t="shared" si="240"/>
        <v>-4.997325026299561</v>
      </c>
      <c r="L335" s="25">
        <f t="shared" si="240"/>
        <v>-6.742454419721541</v>
      </c>
      <c r="M335" s="25">
        <f t="shared" si="240"/>
        <v>-7.741338545262091</v>
      </c>
      <c r="N335" s="25">
        <f t="shared" si="240"/>
        <v>-7.847725997817439</v>
      </c>
      <c r="O335" s="25">
        <f t="shared" si="240"/>
        <v>-7.6202453687413225</v>
      </c>
      <c r="P335" s="25">
        <f t="shared" si="240"/>
        <v>-7.396616712103276</v>
      </c>
      <c r="Q335" s="25">
        <f t="shared" si="240"/>
        <v>-6.834833781791049</v>
      </c>
      <c r="R335" s="25">
        <f t="shared" si="240"/>
        <v>-5.482022192255805</v>
      </c>
      <c r="S335" s="25">
        <f t="shared" si="240"/>
        <v>-3.5223620423375785</v>
      </c>
      <c r="T335" s="25">
        <f t="shared" si="240"/>
        <v>-1.6097960615293292</v>
      </c>
      <c r="U335" s="25">
        <f t="shared" si="240"/>
        <v>0.20886299504885888</v>
      </c>
      <c r="V335" s="25">
        <f t="shared" si="240"/>
        <v>3.310817673717358</v>
      </c>
      <c r="W335" s="25">
        <f t="shared" si="240"/>
        <v>9.710569671097039</v>
      </c>
      <c r="X335" s="25">
        <f t="shared" si="240"/>
        <v>19.0498818991441</v>
      </c>
      <c r="Y335" s="25">
        <f t="shared" si="240"/>
        <v>24.630405277824046</v>
      </c>
      <c r="Z335" s="25">
        <f t="shared" si="240"/>
        <v>16.661094697141966</v>
      </c>
    </row>
    <row r="336" spans="1:26" ht="16.5" thickBot="1">
      <c r="A336" s="89" t="s">
        <v>317</v>
      </c>
      <c r="B336" s="1">
        <f aca="true" t="shared" si="241" ref="B336:Z336">B335-(B242+B262+B277+B198)</f>
        <v>0</v>
      </c>
      <c r="C336" s="1">
        <f t="shared" si="241"/>
        <v>2.220446049250313E-15</v>
      </c>
      <c r="D336" s="1">
        <f t="shared" si="241"/>
        <v>0</v>
      </c>
      <c r="E336" s="1">
        <f t="shared" si="241"/>
        <v>0</v>
      </c>
      <c r="F336" s="1">
        <f t="shared" si="241"/>
        <v>-2.220446049250313E-16</v>
      </c>
      <c r="G336" s="1">
        <f t="shared" si="241"/>
        <v>0</v>
      </c>
      <c r="H336" s="1">
        <f t="shared" si="241"/>
        <v>0</v>
      </c>
      <c r="I336" s="1">
        <f t="shared" si="241"/>
        <v>0</v>
      </c>
      <c r="J336" s="1">
        <f t="shared" si="241"/>
        <v>0</v>
      </c>
      <c r="K336" s="1">
        <f t="shared" si="241"/>
        <v>0</v>
      </c>
      <c r="L336" s="1">
        <f t="shared" si="241"/>
        <v>0</v>
      </c>
      <c r="M336" s="1">
        <f t="shared" si="241"/>
        <v>0</v>
      </c>
      <c r="N336" s="1">
        <f t="shared" si="241"/>
        <v>0</v>
      </c>
      <c r="O336" s="1">
        <f t="shared" si="241"/>
        <v>0</v>
      </c>
      <c r="P336" s="1">
        <f t="shared" si="241"/>
        <v>0</v>
      </c>
      <c r="Q336" s="1">
        <f t="shared" si="241"/>
        <v>0</v>
      </c>
      <c r="R336" s="1">
        <f t="shared" si="241"/>
        <v>0</v>
      </c>
      <c r="S336" s="1">
        <f t="shared" si="241"/>
        <v>0</v>
      </c>
      <c r="T336" s="1">
        <f t="shared" si="241"/>
        <v>0</v>
      </c>
      <c r="U336" s="1">
        <f t="shared" si="241"/>
        <v>0</v>
      </c>
      <c r="V336" s="1">
        <f t="shared" si="241"/>
        <v>0</v>
      </c>
      <c r="W336" s="1">
        <f t="shared" si="241"/>
        <v>0</v>
      </c>
      <c r="X336" s="1">
        <f t="shared" si="241"/>
        <v>0</v>
      </c>
      <c r="Y336" s="1">
        <f t="shared" si="241"/>
        <v>0</v>
      </c>
      <c r="Z336" s="1">
        <f t="shared" si="241"/>
        <v>0</v>
      </c>
    </row>
    <row r="337" ht="16.5" thickBot="1">
      <c r="A337" s="26" t="s">
        <v>182</v>
      </c>
    </row>
    <row r="338" spans="1:26" ht="15.75">
      <c r="A338" s="79" t="s">
        <v>337</v>
      </c>
      <c r="B338" s="1">
        <f>B331</f>
        <v>-0.7975300309334433</v>
      </c>
      <c r="C338" s="1">
        <f aca="true" t="shared" si="242" ref="C338:Z339">C331</f>
        <v>-2.550990359205472</v>
      </c>
      <c r="D338" s="1">
        <f t="shared" si="242"/>
        <v>-3.1643581151663724</v>
      </c>
      <c r="E338" s="1">
        <f t="shared" si="242"/>
        <v>-2.134799196549418</v>
      </c>
      <c r="F338" s="1">
        <f t="shared" si="242"/>
        <v>-0.8538750552058311</v>
      </c>
      <c r="G338" s="1">
        <f t="shared" si="242"/>
        <v>-0.7906285722430239</v>
      </c>
      <c r="H338" s="1">
        <f t="shared" si="242"/>
        <v>-1.947957793847916</v>
      </c>
      <c r="I338" s="1">
        <f t="shared" si="242"/>
        <v>-3.011612766305059</v>
      </c>
      <c r="J338" s="1">
        <f t="shared" si="242"/>
        <v>-2.7530061908274757</v>
      </c>
      <c r="K338" s="1">
        <f t="shared" si="242"/>
        <v>-1.2873751035687124</v>
      </c>
      <c r="L338" s="1">
        <f t="shared" si="242"/>
        <v>0.030594718307621085</v>
      </c>
      <c r="M338" s="1">
        <f t="shared" si="242"/>
        <v>-0.04313905494967371</v>
      </c>
      <c r="N338" s="1">
        <f t="shared" si="242"/>
        <v>-1.3978264960069644</v>
      </c>
      <c r="O338" s="1">
        <f t="shared" si="242"/>
        <v>-2.674663281613674</v>
      </c>
      <c r="P338" s="1">
        <f t="shared" si="242"/>
        <v>-2.618728465063575</v>
      </c>
      <c r="Q338" s="1">
        <f t="shared" si="242"/>
        <v>-1.3254977427339396</v>
      </c>
      <c r="R338" s="1">
        <f t="shared" si="242"/>
        <v>-0.13724010856909905</v>
      </c>
      <c r="S338" s="1">
        <f t="shared" si="242"/>
        <v>-0.29425610625256743</v>
      </c>
      <c r="T338" s="1">
        <f t="shared" si="242"/>
        <v>-1.6892001568920523</v>
      </c>
      <c r="U338" s="1">
        <f t="shared" si="242"/>
        <v>-2.966820268730467</v>
      </c>
      <c r="V338" s="1">
        <f t="shared" si="242"/>
        <v>-2.8618410838178</v>
      </c>
      <c r="W338" s="1">
        <f t="shared" si="242"/>
        <v>-1.4256718797021082</v>
      </c>
      <c r="X338" s="1">
        <f t="shared" si="242"/>
        <v>0.07714185563549628</v>
      </c>
      <c r="Y338" s="1">
        <f t="shared" si="242"/>
        <v>0.38529719324834344</v>
      </c>
      <c r="Z338" s="1">
        <f t="shared" si="242"/>
        <v>-0.7984732030746933</v>
      </c>
    </row>
    <row r="339" spans="1:26" ht="15.75">
      <c r="A339" s="49" t="s">
        <v>338</v>
      </c>
      <c r="B339" s="1">
        <f aca="true" t="shared" si="243" ref="B339:Q339">B332</f>
        <v>-7.17721464662287</v>
      </c>
      <c r="C339" s="1">
        <f t="shared" si="243"/>
        <v>-7.346501938778574</v>
      </c>
      <c r="D339" s="1">
        <f t="shared" si="243"/>
        <v>-7.79608740777174</v>
      </c>
      <c r="E339" s="1">
        <f t="shared" si="243"/>
        <v>-8.153174575735813</v>
      </c>
      <c r="F339" s="1">
        <f t="shared" si="243"/>
        <v>-7.973638894023493</v>
      </c>
      <c r="G339" s="1">
        <f t="shared" si="243"/>
        <v>-7.433490493346775</v>
      </c>
      <c r="H339" s="1">
        <f t="shared" si="243"/>
        <v>-7.040093200462987</v>
      </c>
      <c r="I339" s="1">
        <f t="shared" si="243"/>
        <v>-7.121779814530376</v>
      </c>
      <c r="J339" s="1">
        <f t="shared" si="243"/>
        <v>-7.60071603097593</v>
      </c>
      <c r="K339" s="1">
        <f t="shared" si="243"/>
        <v>-8.098573108111934</v>
      </c>
      <c r="L339" s="1">
        <f t="shared" si="243"/>
        <v>-8.214601461069599</v>
      </c>
      <c r="M339" s="1">
        <f t="shared" si="243"/>
        <v>-7.786496778816701</v>
      </c>
      <c r="N339" s="1">
        <f t="shared" si="243"/>
        <v>-6.991800123730309</v>
      </c>
      <c r="O339" s="1">
        <f t="shared" si="243"/>
        <v>-6.2420360215880315</v>
      </c>
      <c r="P339" s="1">
        <f t="shared" si="243"/>
        <v>-5.937332356529364</v>
      </c>
      <c r="Q339" s="1">
        <f t="shared" si="243"/>
        <v>-6.2285461594612475</v>
      </c>
      <c r="R339" s="1">
        <f t="shared" si="242"/>
        <v>-6.928462669324382</v>
      </c>
      <c r="S339" s="1">
        <f t="shared" si="242"/>
        <v>-7.624711506379895</v>
      </c>
      <c r="T339" s="1">
        <f t="shared" si="242"/>
        <v>-7.927777906042351</v>
      </c>
      <c r="U339" s="1">
        <f t="shared" si="242"/>
        <v>-7.707896823916469</v>
      </c>
      <c r="V339" s="1">
        <f t="shared" si="242"/>
        <v>-7.178055514625846</v>
      </c>
      <c r="W339" s="1">
        <f t="shared" si="242"/>
        <v>-6.757412862243899</v>
      </c>
      <c r="X339" s="1">
        <f t="shared" si="242"/>
        <v>-6.751611072546156</v>
      </c>
      <c r="Y339" s="1">
        <f t="shared" si="242"/>
        <v>-7.030383742405981</v>
      </c>
      <c r="Z339" s="1">
        <f t="shared" si="242"/>
        <v>-7.194992789063845</v>
      </c>
    </row>
    <row r="340" spans="1:27" s="101" customFormat="1" ht="15.75">
      <c r="A340" s="99" t="s">
        <v>195</v>
      </c>
      <c r="B340" s="100">
        <f aca="true" t="shared" si="244" ref="B340:Z340">B333*B76/B75</f>
        <v>-53.77363772465485</v>
      </c>
      <c r="C340" s="100">
        <f t="shared" si="244"/>
        <v>-20.988120019610577</v>
      </c>
      <c r="D340" s="100">
        <f t="shared" si="244"/>
        <v>-7.78173442164027</v>
      </c>
      <c r="E340" s="100">
        <f t="shared" si="244"/>
        <v>-5.352244997814095</v>
      </c>
      <c r="F340" s="100">
        <f t="shared" si="244"/>
        <v>-2.9202948253869287</v>
      </c>
      <c r="G340" s="100">
        <f t="shared" si="244"/>
        <v>5.7532188204799555</v>
      </c>
      <c r="H340" s="100">
        <f t="shared" si="244"/>
        <v>28.7690552248436</v>
      </c>
      <c r="I340" s="100">
        <f t="shared" si="244"/>
        <v>102.35822840010111</v>
      </c>
      <c r="J340" s="100">
        <f t="shared" si="244"/>
        <v>-1929.6483061408223</v>
      </c>
      <c r="K340" s="100">
        <f t="shared" si="244"/>
        <v>-145.56454211295244</v>
      </c>
      <c r="L340" s="100">
        <f t="shared" si="244"/>
        <v>-87.42737988891558</v>
      </c>
      <c r="M340" s="100">
        <f t="shared" si="244"/>
        <v>-66.90179388300177</v>
      </c>
      <c r="N340" s="100">
        <f t="shared" si="244"/>
        <v>-54.72759401718201</v>
      </c>
      <c r="O340" s="100">
        <f t="shared" si="244"/>
        <v>-45.02331423840545</v>
      </c>
      <c r="P340" s="100">
        <f t="shared" si="244"/>
        <v>-36.67612785975061</v>
      </c>
      <c r="Q340" s="100">
        <f t="shared" si="244"/>
        <v>-29.343744218894983</v>
      </c>
      <c r="R340" s="100">
        <f t="shared" si="244"/>
        <v>-22.48216868326028</v>
      </c>
      <c r="S340" s="100">
        <f t="shared" si="244"/>
        <v>-15.660393150521479</v>
      </c>
      <c r="T340" s="100">
        <f t="shared" si="244"/>
        <v>-8.455501454544397</v>
      </c>
      <c r="U340" s="100">
        <f t="shared" si="244"/>
        <v>1.2603356432800206</v>
      </c>
      <c r="V340" s="100">
        <f t="shared" si="244"/>
        <v>22.82806105617552</v>
      </c>
      <c r="W340" s="100">
        <f t="shared" si="244"/>
        <v>115.87458354491852</v>
      </c>
      <c r="X340" s="100">
        <f t="shared" si="244"/>
        <v>-408.56367435733614</v>
      </c>
      <c r="Y340" s="100">
        <f t="shared" si="244"/>
        <v>-113.17851571173549</v>
      </c>
      <c r="Z340" s="100">
        <f t="shared" si="244"/>
        <v>-54.19988184299497</v>
      </c>
      <c r="AA340" s="157"/>
    </row>
    <row r="342" spans="1:26" ht="16.5" thickBot="1">
      <c r="A342" s="50" t="s">
        <v>339</v>
      </c>
      <c r="B342" s="25">
        <f aca="true" t="shared" si="245" ref="B342:Z342">B338*B89+B339*B90+B340*B75</f>
        <v>16.52688240524078</v>
      </c>
      <c r="C342" s="25">
        <f t="shared" si="245"/>
        <v>0.7623504725514199</v>
      </c>
      <c r="D342" s="25">
        <f t="shared" si="245"/>
        <v>-5.047542302845338</v>
      </c>
      <c r="E342" s="25">
        <f t="shared" si="245"/>
        <v>-1.8184847351724795</v>
      </c>
      <c r="F342" s="25">
        <f t="shared" si="245"/>
        <v>0.19538064017840817</v>
      </c>
      <c r="G342" s="25">
        <f t="shared" si="245"/>
        <v>-0.6705965569981758</v>
      </c>
      <c r="H342" s="25">
        <f t="shared" si="245"/>
        <v>-1.9141052036341781</v>
      </c>
      <c r="I342" s="25">
        <f t="shared" si="245"/>
        <v>-2.568609370969293</v>
      </c>
      <c r="J342" s="25">
        <f t="shared" si="245"/>
        <v>-3.41195283953766</v>
      </c>
      <c r="K342" s="25">
        <f t="shared" si="245"/>
        <v>-4.997325026299561</v>
      </c>
      <c r="L342" s="25">
        <f t="shared" si="245"/>
        <v>-6.742454419721541</v>
      </c>
      <c r="M342" s="25">
        <f t="shared" si="245"/>
        <v>-7.741338545262091</v>
      </c>
      <c r="N342" s="25">
        <f t="shared" si="245"/>
        <v>-7.847725997817439</v>
      </c>
      <c r="O342" s="25">
        <f t="shared" si="245"/>
        <v>-7.6202453687413225</v>
      </c>
      <c r="P342" s="25">
        <f t="shared" si="245"/>
        <v>-7.396616712103276</v>
      </c>
      <c r="Q342" s="25">
        <f t="shared" si="245"/>
        <v>-6.834833781791049</v>
      </c>
      <c r="R342" s="25">
        <f t="shared" si="245"/>
        <v>-5.482022192255805</v>
      </c>
      <c r="S342" s="25">
        <f t="shared" si="245"/>
        <v>-3.5223620423375785</v>
      </c>
      <c r="T342" s="25">
        <f t="shared" si="245"/>
        <v>-1.6097960615293292</v>
      </c>
      <c r="U342" s="25">
        <f t="shared" si="245"/>
        <v>0.20886299504885888</v>
      </c>
      <c r="V342" s="25">
        <f t="shared" si="245"/>
        <v>3.310817673717358</v>
      </c>
      <c r="W342" s="25">
        <f t="shared" si="245"/>
        <v>9.710569671097039</v>
      </c>
      <c r="X342" s="25">
        <f t="shared" si="245"/>
        <v>19.0498818991441</v>
      </c>
      <c r="Y342" s="25">
        <f t="shared" si="245"/>
        <v>24.630405277824046</v>
      </c>
      <c r="Z342" s="25">
        <f t="shared" si="245"/>
        <v>16.661094697141966</v>
      </c>
    </row>
    <row r="343" spans="1:27" s="28" customFormat="1" ht="16.5" thickBot="1">
      <c r="A343" s="90" t="s">
        <v>317</v>
      </c>
      <c r="B343" s="27">
        <f aca="true" t="shared" si="246" ref="B343:Z343">B342-(B242+B262+B277+B198)</f>
        <v>0</v>
      </c>
      <c r="C343" s="27">
        <f t="shared" si="246"/>
        <v>2.220446049250313E-15</v>
      </c>
      <c r="D343" s="27">
        <f t="shared" si="246"/>
        <v>0</v>
      </c>
      <c r="E343" s="27">
        <f t="shared" si="246"/>
        <v>0</v>
      </c>
      <c r="F343" s="27">
        <f t="shared" si="246"/>
        <v>-2.220446049250313E-16</v>
      </c>
      <c r="G343" s="27">
        <f t="shared" si="246"/>
        <v>0</v>
      </c>
      <c r="H343" s="27">
        <f t="shared" si="246"/>
        <v>0</v>
      </c>
      <c r="I343" s="27">
        <f t="shared" si="246"/>
        <v>0</v>
      </c>
      <c r="J343" s="27">
        <f t="shared" si="246"/>
        <v>0</v>
      </c>
      <c r="K343" s="27">
        <f t="shared" si="246"/>
        <v>0</v>
      </c>
      <c r="L343" s="27">
        <f t="shared" si="246"/>
        <v>0</v>
      </c>
      <c r="M343" s="27">
        <f t="shared" si="246"/>
        <v>0</v>
      </c>
      <c r="N343" s="27">
        <f t="shared" si="246"/>
        <v>0</v>
      </c>
      <c r="O343" s="27">
        <f t="shared" si="246"/>
        <v>0</v>
      </c>
      <c r="P343" s="27">
        <f t="shared" si="246"/>
        <v>0</v>
      </c>
      <c r="Q343" s="27">
        <f t="shared" si="246"/>
        <v>0</v>
      </c>
      <c r="R343" s="27">
        <f t="shared" si="246"/>
        <v>0</v>
      </c>
      <c r="S343" s="27">
        <f t="shared" si="246"/>
        <v>0</v>
      </c>
      <c r="T343" s="27">
        <f t="shared" si="246"/>
        <v>0</v>
      </c>
      <c r="U343" s="27">
        <f t="shared" si="246"/>
        <v>0</v>
      </c>
      <c r="V343" s="27">
        <f t="shared" si="246"/>
        <v>0</v>
      </c>
      <c r="W343" s="27">
        <f t="shared" si="246"/>
        <v>0</v>
      </c>
      <c r="X343" s="27">
        <f t="shared" si="246"/>
        <v>0</v>
      </c>
      <c r="Y343" s="27">
        <f t="shared" si="246"/>
        <v>0</v>
      </c>
      <c r="Z343" s="27">
        <f t="shared" si="246"/>
        <v>0</v>
      </c>
      <c r="AA343" s="154"/>
    </row>
    <row r="346" ht="16.5" thickBot="1">
      <c r="A346" s="75" t="s">
        <v>185</v>
      </c>
    </row>
    <row r="347" spans="1:26" ht="15.75">
      <c r="A347" s="79" t="s">
        <v>340</v>
      </c>
      <c r="B347" s="1">
        <f>B338</f>
        <v>-0.7975300309334433</v>
      </c>
      <c r="C347" s="1">
        <f aca="true" t="shared" si="247" ref="C347:Z347">C338</f>
        <v>-2.550990359205472</v>
      </c>
      <c r="D347" s="1">
        <f t="shared" si="247"/>
        <v>-3.1643581151663724</v>
      </c>
      <c r="E347" s="1">
        <f t="shared" si="247"/>
        <v>-2.134799196549418</v>
      </c>
      <c r="F347" s="1">
        <f t="shared" si="247"/>
        <v>-0.8538750552058311</v>
      </c>
      <c r="G347" s="1">
        <f t="shared" si="247"/>
        <v>-0.7906285722430239</v>
      </c>
      <c r="H347" s="1">
        <f t="shared" si="247"/>
        <v>-1.947957793847916</v>
      </c>
      <c r="I347" s="1">
        <f t="shared" si="247"/>
        <v>-3.011612766305059</v>
      </c>
      <c r="J347" s="1">
        <f t="shared" si="247"/>
        <v>-2.7530061908274757</v>
      </c>
      <c r="K347" s="1">
        <f t="shared" si="247"/>
        <v>-1.2873751035687124</v>
      </c>
      <c r="L347" s="1">
        <f t="shared" si="247"/>
        <v>0.030594718307621085</v>
      </c>
      <c r="M347" s="1">
        <f t="shared" si="247"/>
        <v>-0.04313905494967371</v>
      </c>
      <c r="N347" s="1">
        <f t="shared" si="247"/>
        <v>-1.3978264960069644</v>
      </c>
      <c r="O347" s="1">
        <f t="shared" si="247"/>
        <v>-2.674663281613674</v>
      </c>
      <c r="P347" s="1">
        <f t="shared" si="247"/>
        <v>-2.618728465063575</v>
      </c>
      <c r="Q347" s="1">
        <f t="shared" si="247"/>
        <v>-1.3254977427339396</v>
      </c>
      <c r="R347" s="1">
        <f t="shared" si="247"/>
        <v>-0.13724010856909905</v>
      </c>
      <c r="S347" s="1">
        <f t="shared" si="247"/>
        <v>-0.29425610625256743</v>
      </c>
      <c r="T347" s="1">
        <f t="shared" si="247"/>
        <v>-1.6892001568920523</v>
      </c>
      <c r="U347" s="1">
        <f t="shared" si="247"/>
        <v>-2.966820268730467</v>
      </c>
      <c r="V347" s="1">
        <f t="shared" si="247"/>
        <v>-2.8618410838178</v>
      </c>
      <c r="W347" s="1">
        <f t="shared" si="247"/>
        <v>-1.4256718797021082</v>
      </c>
      <c r="X347" s="1">
        <f t="shared" si="247"/>
        <v>0.07714185563549628</v>
      </c>
      <c r="Y347" s="1">
        <f t="shared" si="247"/>
        <v>0.38529719324834344</v>
      </c>
      <c r="Z347" s="1">
        <f t="shared" si="247"/>
        <v>-0.7984732030746933</v>
      </c>
    </row>
    <row r="348" spans="1:26" ht="15.75">
      <c r="A348" s="49" t="s">
        <v>341</v>
      </c>
      <c r="B348" s="1">
        <f>B339</f>
        <v>-7.17721464662287</v>
      </c>
      <c r="C348" s="1">
        <f aca="true" t="shared" si="248" ref="C348:Z348">C339</f>
        <v>-7.346501938778574</v>
      </c>
      <c r="D348" s="1">
        <f t="shared" si="248"/>
        <v>-7.79608740777174</v>
      </c>
      <c r="E348" s="1">
        <f t="shared" si="248"/>
        <v>-8.153174575735813</v>
      </c>
      <c r="F348" s="1">
        <f t="shared" si="248"/>
        <v>-7.973638894023493</v>
      </c>
      <c r="G348" s="1">
        <f t="shared" si="248"/>
        <v>-7.433490493346775</v>
      </c>
      <c r="H348" s="1">
        <f t="shared" si="248"/>
        <v>-7.040093200462987</v>
      </c>
      <c r="I348" s="1">
        <f t="shared" si="248"/>
        <v>-7.121779814530376</v>
      </c>
      <c r="J348" s="1">
        <f t="shared" si="248"/>
        <v>-7.60071603097593</v>
      </c>
      <c r="K348" s="1">
        <f t="shared" si="248"/>
        <v>-8.098573108111934</v>
      </c>
      <c r="L348" s="1">
        <f t="shared" si="248"/>
        <v>-8.214601461069599</v>
      </c>
      <c r="M348" s="1">
        <f t="shared" si="248"/>
        <v>-7.786496778816701</v>
      </c>
      <c r="N348" s="1">
        <f t="shared" si="248"/>
        <v>-6.991800123730309</v>
      </c>
      <c r="O348" s="1">
        <f t="shared" si="248"/>
        <v>-6.2420360215880315</v>
      </c>
      <c r="P348" s="1">
        <f t="shared" si="248"/>
        <v>-5.937332356529364</v>
      </c>
      <c r="Q348" s="1">
        <f t="shared" si="248"/>
        <v>-6.2285461594612475</v>
      </c>
      <c r="R348" s="1">
        <f t="shared" si="248"/>
        <v>-6.928462669324382</v>
      </c>
      <c r="S348" s="1">
        <f t="shared" si="248"/>
        <v>-7.624711506379895</v>
      </c>
      <c r="T348" s="1">
        <f t="shared" si="248"/>
        <v>-7.927777906042351</v>
      </c>
      <c r="U348" s="1">
        <f t="shared" si="248"/>
        <v>-7.707896823916469</v>
      </c>
      <c r="V348" s="1">
        <f t="shared" si="248"/>
        <v>-7.178055514625846</v>
      </c>
      <c r="W348" s="1">
        <f t="shared" si="248"/>
        <v>-6.757412862243899</v>
      </c>
      <c r="X348" s="1">
        <f t="shared" si="248"/>
        <v>-6.751611072546156</v>
      </c>
      <c r="Y348" s="1">
        <f t="shared" si="248"/>
        <v>-7.030383742405981</v>
      </c>
      <c r="Z348" s="1">
        <f t="shared" si="248"/>
        <v>-7.194992789063845</v>
      </c>
    </row>
    <row r="349" spans="1:27" s="101" customFormat="1" ht="15.75">
      <c r="A349" s="99" t="s">
        <v>186</v>
      </c>
      <c r="B349" s="100">
        <f aca="true" t="shared" si="249" ref="B349:Z349">B340-B338*(B88-B32)+B339*(B87-B31)</f>
        <v>-46.25328471104649</v>
      </c>
      <c r="C349" s="100">
        <f t="shared" si="249"/>
        <v>-11.34813624079302</v>
      </c>
      <c r="D349" s="100">
        <f t="shared" si="249"/>
        <v>-0.02210260615226134</v>
      </c>
      <c r="E349" s="100">
        <f t="shared" si="249"/>
        <v>-4.484616174197847</v>
      </c>
      <c r="F349" s="100">
        <f t="shared" si="249"/>
        <v>-8.491053666422252</v>
      </c>
      <c r="G349" s="100">
        <f t="shared" si="249"/>
        <v>-1.3162418427510065</v>
      </c>
      <c r="H349" s="100">
        <f t="shared" si="249"/>
        <v>24.125094898286324</v>
      </c>
      <c r="I349" s="100">
        <f t="shared" si="249"/>
        <v>99.70597403738229</v>
      </c>
      <c r="J349" s="100">
        <f t="shared" si="249"/>
        <v>-1933.8958131138638</v>
      </c>
      <c r="K349" s="100">
        <f t="shared" si="249"/>
        <v>-154.11827986638048</v>
      </c>
      <c r="L349" s="100">
        <f t="shared" si="249"/>
        <v>-98.98068514021588</v>
      </c>
      <c r="M349" s="100">
        <f t="shared" si="249"/>
        <v>-76.72336083466485</v>
      </c>
      <c r="N349" s="100">
        <f t="shared" si="249"/>
        <v>-58.6135476656835</v>
      </c>
      <c r="O349" s="100">
        <f t="shared" si="249"/>
        <v>-43.04130928544026</v>
      </c>
      <c r="P349" s="100">
        <f t="shared" si="249"/>
        <v>-32.96337888057472</v>
      </c>
      <c r="Q349" s="100">
        <f t="shared" si="249"/>
        <v>-27.83608948460597</v>
      </c>
      <c r="R349" s="100">
        <f t="shared" si="249"/>
        <v>-22.730520733025912</v>
      </c>
      <c r="S349" s="100">
        <f t="shared" si="249"/>
        <v>-13.185085358088424</v>
      </c>
      <c r="T349" s="100">
        <f t="shared" si="249"/>
        <v>0.5503637978042217</v>
      </c>
      <c r="U349" s="100">
        <f t="shared" si="249"/>
        <v>15.835610492185525</v>
      </c>
      <c r="V349" s="100">
        <f t="shared" si="249"/>
        <v>38.06650895062365</v>
      </c>
      <c r="W349" s="100">
        <f t="shared" si="249"/>
        <v>127.4998394241554</v>
      </c>
      <c r="X349" s="100">
        <f t="shared" si="249"/>
        <v>-400.9460443599988</v>
      </c>
      <c r="Y349" s="100">
        <f t="shared" si="249"/>
        <v>-107.0162788395577</v>
      </c>
      <c r="Z349" s="100">
        <f t="shared" si="249"/>
        <v>-46.66390609421999</v>
      </c>
      <c r="AA349" s="157"/>
    </row>
    <row r="350" spans="1:26" ht="16.5" thickBot="1">
      <c r="A350" s="50" t="s">
        <v>342</v>
      </c>
      <c r="B350" s="1">
        <f aca="true" t="shared" si="250" ref="B350:Z350">B347*B33+B348*B34+B349*B75</f>
        <v>16.526882405240777</v>
      </c>
      <c r="C350" s="1">
        <f t="shared" si="250"/>
        <v>0.7623504725514181</v>
      </c>
      <c r="D350" s="1">
        <f t="shared" si="250"/>
        <v>-5.047542302845339</v>
      </c>
      <c r="E350" s="1">
        <f t="shared" si="250"/>
        <v>-1.818484735172479</v>
      </c>
      <c r="F350" s="1">
        <f t="shared" si="250"/>
        <v>0.19538064017840817</v>
      </c>
      <c r="G350" s="1">
        <f t="shared" si="250"/>
        <v>-0.6705965569981756</v>
      </c>
      <c r="H350" s="1">
        <f t="shared" si="250"/>
        <v>-1.9141052036341777</v>
      </c>
      <c r="I350" s="1">
        <f t="shared" si="250"/>
        <v>-2.568609370969292</v>
      </c>
      <c r="J350" s="1">
        <f t="shared" si="250"/>
        <v>-3.41195283953766</v>
      </c>
      <c r="K350" s="1">
        <f t="shared" si="250"/>
        <v>-4.99732502629956</v>
      </c>
      <c r="L350" s="1">
        <f t="shared" si="250"/>
        <v>-6.7424544197215415</v>
      </c>
      <c r="M350" s="1">
        <f t="shared" si="250"/>
        <v>-7.741338545262091</v>
      </c>
      <c r="N350" s="1">
        <f t="shared" si="250"/>
        <v>-7.847725997817438</v>
      </c>
      <c r="O350" s="1">
        <f t="shared" si="250"/>
        <v>-7.620245368741324</v>
      </c>
      <c r="P350" s="1">
        <f t="shared" si="250"/>
        <v>-7.396616712103275</v>
      </c>
      <c r="Q350" s="1">
        <f t="shared" si="250"/>
        <v>-6.834833781791049</v>
      </c>
      <c r="R350" s="1">
        <f t="shared" si="250"/>
        <v>-5.482022192255803</v>
      </c>
      <c r="S350" s="1">
        <f t="shared" si="250"/>
        <v>-3.5223620423375785</v>
      </c>
      <c r="T350" s="1">
        <f t="shared" si="250"/>
        <v>-1.6097960615293292</v>
      </c>
      <c r="U350" s="1">
        <f t="shared" si="250"/>
        <v>0.2088629950488583</v>
      </c>
      <c r="V350" s="1">
        <f t="shared" si="250"/>
        <v>3.3108176737173576</v>
      </c>
      <c r="W350" s="1">
        <f t="shared" si="250"/>
        <v>9.710569671097039</v>
      </c>
      <c r="X350" s="1">
        <f t="shared" si="250"/>
        <v>19.049881899144097</v>
      </c>
      <c r="Y350" s="1">
        <f t="shared" si="250"/>
        <v>24.630405277824046</v>
      </c>
      <c r="Z350" s="1">
        <f t="shared" si="250"/>
        <v>16.66109469714197</v>
      </c>
    </row>
    <row r="351" spans="1:26" ht="16.5" thickBot="1">
      <c r="A351" s="90" t="s">
        <v>317</v>
      </c>
      <c r="B351" s="1">
        <f aca="true" t="shared" si="251" ref="B351:Z351">B350-(B242+B262+B277+B198)</f>
        <v>0</v>
      </c>
      <c r="C351" s="1">
        <f t="shared" si="251"/>
        <v>0</v>
      </c>
      <c r="D351" s="1">
        <f t="shared" si="251"/>
        <v>0</v>
      </c>
      <c r="E351" s="1">
        <f t="shared" si="251"/>
        <v>0</v>
      </c>
      <c r="F351" s="1">
        <f t="shared" si="251"/>
        <v>-2.220446049250313E-16</v>
      </c>
      <c r="G351" s="1">
        <f t="shared" si="251"/>
        <v>0</v>
      </c>
      <c r="H351" s="1">
        <f t="shared" si="251"/>
        <v>0</v>
      </c>
      <c r="I351" s="1">
        <f t="shared" si="251"/>
        <v>0</v>
      </c>
      <c r="J351" s="1">
        <f t="shared" si="251"/>
        <v>0</v>
      </c>
      <c r="K351" s="1">
        <f t="shared" si="251"/>
        <v>0</v>
      </c>
      <c r="L351" s="1">
        <f t="shared" si="251"/>
        <v>0</v>
      </c>
      <c r="M351" s="1">
        <f t="shared" si="251"/>
        <v>0</v>
      </c>
      <c r="N351" s="1">
        <f t="shared" si="251"/>
        <v>0</v>
      </c>
      <c r="O351" s="1">
        <f t="shared" si="251"/>
        <v>0</v>
      </c>
      <c r="P351" s="1">
        <f t="shared" si="251"/>
        <v>0</v>
      </c>
      <c r="Q351" s="1">
        <f t="shared" si="251"/>
        <v>0</v>
      </c>
      <c r="R351" s="1">
        <f t="shared" si="251"/>
        <v>0</v>
      </c>
      <c r="S351" s="1">
        <f t="shared" si="251"/>
        <v>0</v>
      </c>
      <c r="T351" s="1">
        <f t="shared" si="251"/>
        <v>0</v>
      </c>
      <c r="U351" s="1">
        <f t="shared" si="251"/>
        <v>-7.771561172376096E-16</v>
      </c>
      <c r="V351" s="1">
        <f t="shared" si="251"/>
        <v>0</v>
      </c>
      <c r="W351" s="1">
        <f t="shared" si="251"/>
        <v>0</v>
      </c>
      <c r="X351" s="1">
        <f t="shared" si="251"/>
        <v>0</v>
      </c>
      <c r="Y351" s="1">
        <f t="shared" si="251"/>
        <v>0</v>
      </c>
      <c r="Z351" s="1">
        <f t="shared" si="251"/>
        <v>0</v>
      </c>
    </row>
    <row r="354" ht="16.5" thickBot="1">
      <c r="A354" s="26" t="s">
        <v>183</v>
      </c>
    </row>
    <row r="355" spans="1:26" ht="15.75">
      <c r="A355" s="79" t="s">
        <v>340</v>
      </c>
      <c r="B355" s="1">
        <f>B171</f>
        <v>-0.5600289450015173</v>
      </c>
      <c r="C355" s="1">
        <f aca="true" t="shared" si="252" ref="C355:Z355">C171</f>
        <v>-0.7751029062062256</v>
      </c>
      <c r="D355" s="1">
        <f t="shared" si="252"/>
        <v>-0.560628914402434</v>
      </c>
      <c r="E355" s="1">
        <f t="shared" si="252"/>
        <v>-0.18457545381387402</v>
      </c>
      <c r="F355" s="1">
        <f t="shared" si="252"/>
        <v>0.09029303430635727</v>
      </c>
      <c r="G355" s="1">
        <f t="shared" si="252"/>
        <v>0.23983698035680323</v>
      </c>
      <c r="H355" s="1">
        <f t="shared" si="252"/>
        <v>0.3151335560685719</v>
      </c>
      <c r="I355" s="1">
        <f t="shared" si="252"/>
        <v>0.354198661702591</v>
      </c>
      <c r="J355" s="1">
        <f t="shared" si="252"/>
        <v>0.3744445739846347</v>
      </c>
      <c r="K355" s="1">
        <f t="shared" si="252"/>
        <v>0.380084554352776</v>
      </c>
      <c r="L355" s="1">
        <f t="shared" si="252"/>
        <v>0.36855432770418495</v>
      </c>
      <c r="M355" s="1">
        <f t="shared" si="252"/>
        <v>0.33565370315270854</v>
      </c>
      <c r="N355" s="1">
        <f t="shared" si="252"/>
        <v>0.2792730224984157</v>
      </c>
      <c r="O355" s="1">
        <f t="shared" si="252"/>
        <v>0.20107989223715467</v>
      </c>
      <c r="P355" s="1">
        <f t="shared" si="252"/>
        <v>0.10676455129907284</v>
      </c>
      <c r="Q355" s="1">
        <f t="shared" si="252"/>
        <v>0.005872111434693817</v>
      </c>
      <c r="R355" s="1">
        <f t="shared" si="252"/>
        <v>-0.08886057264711911</v>
      </c>
      <c r="S355" s="1">
        <f t="shared" si="252"/>
        <v>-0.16303405641802857</v>
      </c>
      <c r="T355" s="1">
        <f t="shared" si="252"/>
        <v>-0.2023017779513932</v>
      </c>
      <c r="U355" s="1">
        <f t="shared" si="252"/>
        <v>-0.19408416659786365</v>
      </c>
      <c r="V355" s="1">
        <f t="shared" si="252"/>
        <v>-0.1328931701318595</v>
      </c>
      <c r="W355" s="1">
        <f t="shared" si="252"/>
        <v>-0.03868635378086608</v>
      </c>
      <c r="X355" s="1">
        <f t="shared" si="252"/>
        <v>0.0034712888700883515</v>
      </c>
      <c r="Y355" s="1">
        <f t="shared" si="252"/>
        <v>-0.1648489772660825</v>
      </c>
      <c r="Z355" s="1">
        <f t="shared" si="252"/>
        <v>-0.5560961139765868</v>
      </c>
    </row>
    <row r="356" spans="1:26" ht="15.75">
      <c r="A356" s="49" t="s">
        <v>341</v>
      </c>
      <c r="B356" s="1">
        <f>B172+$L$6</f>
        <v>2.209595713659714</v>
      </c>
      <c r="C356" s="1">
        <f aca="true" t="shared" si="253" ref="C356:Z356">C172+$L$6</f>
        <v>2.3151589858090547</v>
      </c>
      <c r="D356" s="1">
        <f t="shared" si="253"/>
        <v>2.132354296999544</v>
      </c>
      <c r="E356" s="1">
        <f t="shared" si="253"/>
        <v>1.851089803490263</v>
      </c>
      <c r="F356" s="1">
        <f t="shared" si="253"/>
        <v>1.6632407239497289</v>
      </c>
      <c r="G356" s="1">
        <f t="shared" si="253"/>
        <v>1.5828773568230545</v>
      </c>
      <c r="H356" s="1">
        <f t="shared" si="253"/>
        <v>1.5676514600909766</v>
      </c>
      <c r="I356" s="1">
        <f t="shared" si="253"/>
        <v>1.5846437468938994</v>
      </c>
      <c r="J356" s="1">
        <f t="shared" si="253"/>
        <v>1.6165412380744548</v>
      </c>
      <c r="K356" s="1">
        <f t="shared" si="253"/>
        <v>1.6567235774162987</v>
      </c>
      <c r="L356" s="1">
        <f t="shared" si="253"/>
        <v>1.7046834538717657</v>
      </c>
      <c r="M356" s="1">
        <f t="shared" si="253"/>
        <v>1.7624429163026762</v>
      </c>
      <c r="N356" s="1">
        <f t="shared" si="253"/>
        <v>1.8321537663772411</v>
      </c>
      <c r="O356" s="1">
        <f t="shared" si="253"/>
        <v>1.9146735093938483</v>
      </c>
      <c r="P356" s="1">
        <f t="shared" si="253"/>
        <v>2.0082896898012526</v>
      </c>
      <c r="Q356" s="1">
        <f t="shared" si="253"/>
        <v>2.1074461048101196</v>
      </c>
      <c r="R356" s="1">
        <f t="shared" si="253"/>
        <v>2.2024926859602534</v>
      </c>
      <c r="S356" s="1">
        <f t="shared" si="253"/>
        <v>2.2809082377156775</v>
      </c>
      <c r="T356" s="1">
        <f t="shared" si="253"/>
        <v>2.3286620713133206</v>
      </c>
      <c r="U356" s="1">
        <f t="shared" si="253"/>
        <v>2.330718395905834</v>
      </c>
      <c r="V356" s="1">
        <f t="shared" si="253"/>
        <v>2.273472682556265</v>
      </c>
      <c r="W356" s="1">
        <f t="shared" si="253"/>
        <v>2.1577305116896524</v>
      </c>
      <c r="X356" s="1">
        <f t="shared" si="253"/>
        <v>2.034078177553506</v>
      </c>
      <c r="Y356" s="1">
        <f t="shared" si="253"/>
        <v>2.0315580006717866</v>
      </c>
      <c r="Z356" s="1">
        <f t="shared" si="253"/>
        <v>2.211096282867574</v>
      </c>
    </row>
    <row r="357" spans="1:26" ht="15.75">
      <c r="A357" s="49" t="s">
        <v>186</v>
      </c>
      <c r="B357" s="1">
        <f aca="true" t="shared" si="254" ref="B357:Z357">B173-B171*(B162-B32)+(B172+$L$6)*(B161-B31)</f>
        <v>14.745458660659336</v>
      </c>
      <c r="C357" s="1">
        <f t="shared" si="254"/>
        <v>15.0545015019619</v>
      </c>
      <c r="D357" s="1">
        <f t="shared" si="254"/>
        <v>13.313458899678672</v>
      </c>
      <c r="E357" s="1">
        <f t="shared" si="254"/>
        <v>11.555680045421758</v>
      </c>
      <c r="F357" s="1">
        <f t="shared" si="254"/>
        <v>10.627415443229804</v>
      </c>
      <c r="G357" s="1">
        <f t="shared" si="254"/>
        <v>10.235575621311517</v>
      </c>
      <c r="H357" s="1">
        <f t="shared" si="254"/>
        <v>10.111537885435583</v>
      </c>
      <c r="I357" s="1">
        <f t="shared" si="254"/>
        <v>10.152920503439441</v>
      </c>
      <c r="J357" s="1">
        <f t="shared" si="254"/>
        <v>10.320347676144303</v>
      </c>
      <c r="K357" s="1">
        <f t="shared" si="254"/>
        <v>10.586356971793107</v>
      </c>
      <c r="L357" s="1">
        <f t="shared" si="254"/>
        <v>10.926889610275822</v>
      </c>
      <c r="M357" s="1">
        <f t="shared" si="254"/>
        <v>11.330082825455378</v>
      </c>
      <c r="N357" s="1">
        <f t="shared" si="254"/>
        <v>11.804928700384208</v>
      </c>
      <c r="O357" s="1">
        <f t="shared" si="254"/>
        <v>12.377499138656473</v>
      </c>
      <c r="P357" s="1">
        <f t="shared" si="254"/>
        <v>13.07187396981169</v>
      </c>
      <c r="Q357" s="1">
        <f t="shared" si="254"/>
        <v>13.881582648158062</v>
      </c>
      <c r="R357" s="1">
        <f t="shared" si="254"/>
        <v>14.743559804729868</v>
      </c>
      <c r="S357" s="1">
        <f t="shared" si="254"/>
        <v>15.528349993832457</v>
      </c>
      <c r="T357" s="1">
        <f t="shared" si="254"/>
        <v>16.051364641168135</v>
      </c>
      <c r="U357" s="1">
        <f t="shared" si="254"/>
        <v>16.102751263163512</v>
      </c>
      <c r="V357" s="1">
        <f t="shared" si="254"/>
        <v>15.514384732262359</v>
      </c>
      <c r="W357" s="1">
        <f t="shared" si="254"/>
        <v>14.333136499551696</v>
      </c>
      <c r="X357" s="1">
        <f t="shared" si="254"/>
        <v>13.167393684100608</v>
      </c>
      <c r="Y357" s="1">
        <f t="shared" si="254"/>
        <v>13.26345790192075</v>
      </c>
      <c r="Z357" s="1">
        <f t="shared" si="254"/>
        <v>14.75150279434475</v>
      </c>
    </row>
    <row r="358" spans="1:26" ht="16.5" thickBot="1">
      <c r="A358" s="50" t="s">
        <v>342</v>
      </c>
      <c r="B358" s="1">
        <f aca="true" t="shared" si="255" ref="B358:Z358">B355*B33+B356*B34+B357*B75</f>
        <v>-5.3330019696345214</v>
      </c>
      <c r="C358" s="1">
        <f t="shared" si="255"/>
        <v>-7.0077878725437</v>
      </c>
      <c r="D358" s="1">
        <f t="shared" si="255"/>
        <v>-6.049641670248049</v>
      </c>
      <c r="E358" s="1">
        <f t="shared" si="255"/>
        <v>-4.524189417689518</v>
      </c>
      <c r="F358" s="1">
        <f t="shared" si="255"/>
        <v>-3.407211707499396</v>
      </c>
      <c r="G358" s="1">
        <f t="shared" si="255"/>
        <v>-2.6071403227294305</v>
      </c>
      <c r="H358" s="1">
        <f t="shared" si="255"/>
        <v>-2.0048850776180744</v>
      </c>
      <c r="I358" s="1">
        <f t="shared" si="255"/>
        <v>-1.5255341079830185</v>
      </c>
      <c r="J358" s="1">
        <f t="shared" si="255"/>
        <v>-1.0951158429758139</v>
      </c>
      <c r="K358" s="1">
        <f t="shared" si="255"/>
        <v>-0.6454386612781067</v>
      </c>
      <c r="L358" s="1">
        <f t="shared" si="255"/>
        <v>-0.12945371231027636</v>
      </c>
      <c r="M358" s="1">
        <f t="shared" si="255"/>
        <v>0.4722649072976852</v>
      </c>
      <c r="N358" s="1">
        <f t="shared" si="255"/>
        <v>1.158569854198079</v>
      </c>
      <c r="O358" s="1">
        <f t="shared" si="255"/>
        <v>1.9211477149848017</v>
      </c>
      <c r="P358" s="1">
        <f t="shared" si="255"/>
        <v>2.751075020879795</v>
      </c>
      <c r="Q358" s="1">
        <f t="shared" si="255"/>
        <v>3.6295765975592182</v>
      </c>
      <c r="R358" s="1">
        <f t="shared" si="255"/>
        <v>4.504593543230677</v>
      </c>
      <c r="S358" s="1">
        <f t="shared" si="255"/>
        <v>5.265858755942876</v>
      </c>
      <c r="T358" s="1">
        <f t="shared" si="255"/>
        <v>5.7345433039046165</v>
      </c>
      <c r="U358" s="1">
        <f t="shared" si="255"/>
        <v>5.679734978063516</v>
      </c>
      <c r="V358" s="1">
        <f t="shared" si="255"/>
        <v>4.880561419774157</v>
      </c>
      <c r="W358" s="1">
        <f t="shared" si="255"/>
        <v>3.254837480484258</v>
      </c>
      <c r="X358" s="1">
        <f t="shared" si="255"/>
        <v>0.9486393562990162</v>
      </c>
      <c r="Y358" s="1">
        <f t="shared" si="255"/>
        <v>-1.9629667265547859</v>
      </c>
      <c r="Z358" s="1">
        <f t="shared" si="255"/>
        <v>-5.316053651859982</v>
      </c>
    </row>
    <row r="359" spans="1:26" ht="16.5" thickBot="1">
      <c r="A359" s="90" t="s">
        <v>317</v>
      </c>
      <c r="B359" s="1">
        <f aca="true" t="shared" si="256" ref="B359:Z359">B358-B177</f>
        <v>0</v>
      </c>
      <c r="C359" s="1">
        <f t="shared" si="256"/>
        <v>0</v>
      </c>
      <c r="D359" s="1">
        <f t="shared" si="256"/>
        <v>0</v>
      </c>
      <c r="E359" s="1">
        <f t="shared" si="256"/>
        <v>0</v>
      </c>
      <c r="F359" s="1">
        <f t="shared" si="256"/>
        <v>0</v>
      </c>
      <c r="G359" s="1">
        <f t="shared" si="256"/>
        <v>0</v>
      </c>
      <c r="H359" s="1">
        <f t="shared" si="256"/>
        <v>0</v>
      </c>
      <c r="I359" s="1">
        <f t="shared" si="256"/>
        <v>0</v>
      </c>
      <c r="J359" s="1">
        <f t="shared" si="256"/>
        <v>0</v>
      </c>
      <c r="K359" s="1">
        <f t="shared" si="256"/>
        <v>0</v>
      </c>
      <c r="L359" s="1">
        <f t="shared" si="256"/>
        <v>2.220446049250313E-16</v>
      </c>
      <c r="M359" s="1">
        <f t="shared" si="256"/>
        <v>0</v>
      </c>
      <c r="N359" s="1">
        <f t="shared" si="256"/>
        <v>0</v>
      </c>
      <c r="O359" s="1">
        <f t="shared" si="256"/>
        <v>0</v>
      </c>
      <c r="P359" s="1">
        <f t="shared" si="256"/>
        <v>0</v>
      </c>
      <c r="Q359" s="1">
        <f t="shared" si="256"/>
        <v>0</v>
      </c>
      <c r="R359" s="1">
        <f t="shared" si="256"/>
        <v>0</v>
      </c>
      <c r="S359" s="1">
        <f t="shared" si="256"/>
        <v>0</v>
      </c>
      <c r="T359" s="1">
        <f t="shared" si="256"/>
        <v>0</v>
      </c>
      <c r="U359" s="1">
        <f t="shared" si="256"/>
        <v>0</v>
      </c>
      <c r="V359" s="1">
        <f t="shared" si="256"/>
        <v>0</v>
      </c>
      <c r="W359" s="1">
        <f t="shared" si="256"/>
        <v>0</v>
      </c>
      <c r="X359" s="1">
        <f t="shared" si="256"/>
        <v>0</v>
      </c>
      <c r="Y359" s="1">
        <f t="shared" si="256"/>
        <v>0</v>
      </c>
      <c r="Z359" s="1">
        <f t="shared" si="256"/>
        <v>0</v>
      </c>
    </row>
    <row r="361" ht="16.5" thickBot="1">
      <c r="A361" s="26" t="s">
        <v>184</v>
      </c>
    </row>
    <row r="362" spans="1:26" ht="15.75">
      <c r="A362" s="79" t="s">
        <v>340</v>
      </c>
      <c r="B362" s="1">
        <f aca="true" t="shared" si="257" ref="B362:Z362">B347+B355</f>
        <v>-1.3575589759349607</v>
      </c>
      <c r="C362" s="1">
        <f t="shared" si="257"/>
        <v>-3.3260932654116977</v>
      </c>
      <c r="D362" s="1">
        <f t="shared" si="257"/>
        <v>-3.7249870295688066</v>
      </c>
      <c r="E362" s="1">
        <f t="shared" si="257"/>
        <v>-2.3193746503632924</v>
      </c>
      <c r="F362" s="1">
        <f t="shared" si="257"/>
        <v>-0.7635820208994738</v>
      </c>
      <c r="G362" s="1">
        <f t="shared" si="257"/>
        <v>-0.5507915918862206</v>
      </c>
      <c r="H362" s="1">
        <f t="shared" si="257"/>
        <v>-1.632824237779344</v>
      </c>
      <c r="I362" s="1">
        <f t="shared" si="257"/>
        <v>-2.6574141046024677</v>
      </c>
      <c r="J362" s="1">
        <f t="shared" si="257"/>
        <v>-2.378561616842841</v>
      </c>
      <c r="K362" s="1">
        <f t="shared" si="257"/>
        <v>-0.9072905492159364</v>
      </c>
      <c r="L362" s="1">
        <f t="shared" si="257"/>
        <v>0.399149046011806</v>
      </c>
      <c r="M362" s="1">
        <f t="shared" si="257"/>
        <v>0.29251464820303485</v>
      </c>
      <c r="N362" s="1">
        <f t="shared" si="257"/>
        <v>-1.1185534735085487</v>
      </c>
      <c r="O362" s="1">
        <f t="shared" si="257"/>
        <v>-2.473583389376519</v>
      </c>
      <c r="P362" s="1">
        <f t="shared" si="257"/>
        <v>-2.5119639137645025</v>
      </c>
      <c r="Q362" s="1">
        <f t="shared" si="257"/>
        <v>-1.3196256312992458</v>
      </c>
      <c r="R362" s="1">
        <f t="shared" si="257"/>
        <v>-0.22610068121621815</v>
      </c>
      <c r="S362" s="1">
        <f t="shared" si="257"/>
        <v>-0.45729016267059597</v>
      </c>
      <c r="T362" s="1">
        <f t="shared" si="257"/>
        <v>-1.8915019348434454</v>
      </c>
      <c r="U362" s="1">
        <f t="shared" si="257"/>
        <v>-3.1609044353283307</v>
      </c>
      <c r="V362" s="1">
        <f t="shared" si="257"/>
        <v>-2.9947342539496593</v>
      </c>
      <c r="W362" s="1">
        <f t="shared" si="257"/>
        <v>-1.4643582334829743</v>
      </c>
      <c r="X362" s="1">
        <f t="shared" si="257"/>
        <v>0.08061314450558463</v>
      </c>
      <c r="Y362" s="1">
        <f t="shared" si="257"/>
        <v>0.22044821598226094</v>
      </c>
      <c r="Z362" s="1">
        <f t="shared" si="257"/>
        <v>-1.35456931705128</v>
      </c>
    </row>
    <row r="363" spans="1:26" ht="15.75">
      <c r="A363" s="49" t="s">
        <v>341</v>
      </c>
      <c r="B363" s="1">
        <f aca="true" t="shared" si="258" ref="B363:Z363">B348+B356</f>
        <v>-4.9676189329631555</v>
      </c>
      <c r="C363" s="1">
        <f t="shared" si="258"/>
        <v>-5.031342952969519</v>
      </c>
      <c r="D363" s="1">
        <f t="shared" si="258"/>
        <v>-5.6637331107721955</v>
      </c>
      <c r="E363" s="1">
        <f t="shared" si="258"/>
        <v>-6.30208477224555</v>
      </c>
      <c r="F363" s="1">
        <f t="shared" si="258"/>
        <v>-6.310398170073764</v>
      </c>
      <c r="G363" s="1">
        <f t="shared" si="258"/>
        <v>-5.85061313652372</v>
      </c>
      <c r="H363" s="1">
        <f t="shared" si="258"/>
        <v>-5.472441740372011</v>
      </c>
      <c r="I363" s="1">
        <f t="shared" si="258"/>
        <v>-5.537136067636476</v>
      </c>
      <c r="J363" s="1">
        <f t="shared" si="258"/>
        <v>-5.984174792901475</v>
      </c>
      <c r="K363" s="1">
        <f t="shared" si="258"/>
        <v>-6.4418495306956345</v>
      </c>
      <c r="L363" s="1">
        <f t="shared" si="258"/>
        <v>-6.509918007197832</v>
      </c>
      <c r="M363" s="1">
        <f t="shared" si="258"/>
        <v>-6.024053862514025</v>
      </c>
      <c r="N363" s="1">
        <f t="shared" si="258"/>
        <v>-5.159646357353068</v>
      </c>
      <c r="O363" s="1">
        <f t="shared" si="258"/>
        <v>-4.327362512194183</v>
      </c>
      <c r="P363" s="1">
        <f t="shared" si="258"/>
        <v>-3.9290426667281113</v>
      </c>
      <c r="Q363" s="1">
        <f t="shared" si="258"/>
        <v>-4.121100054651128</v>
      </c>
      <c r="R363" s="1">
        <f t="shared" si="258"/>
        <v>-4.725969983364129</v>
      </c>
      <c r="S363" s="1">
        <f t="shared" si="258"/>
        <v>-5.343803268664217</v>
      </c>
      <c r="T363" s="1">
        <f t="shared" si="258"/>
        <v>-5.59911583472903</v>
      </c>
      <c r="U363" s="1">
        <f t="shared" si="258"/>
        <v>-5.377178428010636</v>
      </c>
      <c r="V363" s="1">
        <f t="shared" si="258"/>
        <v>-4.904582832069581</v>
      </c>
      <c r="W363" s="1">
        <f t="shared" si="258"/>
        <v>-4.599682350554247</v>
      </c>
      <c r="X363" s="1">
        <f t="shared" si="258"/>
        <v>-4.71753289499265</v>
      </c>
      <c r="Y363" s="1">
        <f t="shared" si="258"/>
        <v>-4.998825741734194</v>
      </c>
      <c r="Z363" s="1">
        <f t="shared" si="258"/>
        <v>-4.983896506196271</v>
      </c>
    </row>
    <row r="364" spans="1:27" s="101" customFormat="1" ht="15.75">
      <c r="A364" s="99" t="s">
        <v>186</v>
      </c>
      <c r="B364" s="102">
        <f aca="true" t="shared" si="259" ref="B364:Z364">B349+B357</f>
        <v>-31.507826050387152</v>
      </c>
      <c r="C364" s="102">
        <f t="shared" si="259"/>
        <v>3.70636526116888</v>
      </c>
      <c r="D364" s="102">
        <f t="shared" si="259"/>
        <v>13.29135629352641</v>
      </c>
      <c r="E364" s="102">
        <f t="shared" si="259"/>
        <v>7.0710638712239104</v>
      </c>
      <c r="F364" s="102">
        <f t="shared" si="259"/>
        <v>2.1363617768075525</v>
      </c>
      <c r="G364" s="102">
        <f t="shared" si="259"/>
        <v>8.91933377856051</v>
      </c>
      <c r="H364" s="102">
        <f t="shared" si="259"/>
        <v>34.23663278372191</v>
      </c>
      <c r="I364" s="102">
        <f t="shared" si="259"/>
        <v>109.85889454082174</v>
      </c>
      <c r="J364" s="102">
        <f t="shared" si="259"/>
        <v>-1923.5754654377195</v>
      </c>
      <c r="K364" s="102">
        <f t="shared" si="259"/>
        <v>-143.53192289458738</v>
      </c>
      <c r="L364" s="102">
        <f t="shared" si="259"/>
        <v>-88.05379552994006</v>
      </c>
      <c r="M364" s="102">
        <f t="shared" si="259"/>
        <v>-65.39327800920947</v>
      </c>
      <c r="N364" s="102">
        <f t="shared" si="259"/>
        <v>-46.80861896529929</v>
      </c>
      <c r="O364" s="102">
        <f t="shared" si="259"/>
        <v>-30.66381014678379</v>
      </c>
      <c r="P364" s="102">
        <f t="shared" si="259"/>
        <v>-19.891504910763032</v>
      </c>
      <c r="Q364" s="102">
        <f t="shared" si="259"/>
        <v>-13.954506836447909</v>
      </c>
      <c r="R364" s="102">
        <f t="shared" si="259"/>
        <v>-7.986960928296044</v>
      </c>
      <c r="S364" s="102">
        <f t="shared" si="259"/>
        <v>2.343264635744033</v>
      </c>
      <c r="T364" s="102">
        <f t="shared" si="259"/>
        <v>16.60172843897236</v>
      </c>
      <c r="U364" s="102">
        <f t="shared" si="259"/>
        <v>31.938361755349035</v>
      </c>
      <c r="V364" s="102">
        <f t="shared" si="259"/>
        <v>53.58089368288601</v>
      </c>
      <c r="W364" s="102">
        <f t="shared" si="259"/>
        <v>141.8329759237071</v>
      </c>
      <c r="X364" s="102">
        <f t="shared" si="259"/>
        <v>-387.7786506758982</v>
      </c>
      <c r="Y364" s="102">
        <f t="shared" si="259"/>
        <v>-93.75282093763695</v>
      </c>
      <c r="Z364" s="102">
        <f t="shared" si="259"/>
        <v>-31.912403299875237</v>
      </c>
      <c r="AA364" s="157"/>
    </row>
    <row r="366" spans="1:26" ht="16.5" thickBot="1">
      <c r="A366" s="50" t="s">
        <v>342</v>
      </c>
      <c r="B366" s="1">
        <f aca="true" t="shared" si="260" ref="B366:Z366">B362*B33+B363*B34+B364*B75</f>
        <v>11.193880435606259</v>
      </c>
      <c r="C366" s="1">
        <f t="shared" si="260"/>
        <v>-6.245437399992282</v>
      </c>
      <c r="D366" s="1">
        <f t="shared" si="260"/>
        <v>-11.097183973093388</v>
      </c>
      <c r="E366" s="1">
        <f t="shared" si="260"/>
        <v>-6.342674152861997</v>
      </c>
      <c r="F366" s="1">
        <f t="shared" si="260"/>
        <v>-3.211831067320988</v>
      </c>
      <c r="G366" s="1">
        <f t="shared" si="260"/>
        <v>-3.2777368797276063</v>
      </c>
      <c r="H366" s="1">
        <f t="shared" si="260"/>
        <v>-3.9189902812522526</v>
      </c>
      <c r="I366" s="1">
        <f t="shared" si="260"/>
        <v>-4.094143478952312</v>
      </c>
      <c r="J366" s="1">
        <f t="shared" si="260"/>
        <v>-4.507068682513474</v>
      </c>
      <c r="K366" s="1">
        <f t="shared" si="260"/>
        <v>-5.642763687577667</v>
      </c>
      <c r="L366" s="1">
        <f t="shared" si="260"/>
        <v>-6.871908132031818</v>
      </c>
      <c r="M366" s="1">
        <f t="shared" si="260"/>
        <v>-7.269073637964406</v>
      </c>
      <c r="N366" s="1">
        <f t="shared" si="260"/>
        <v>-6.689156143619359</v>
      </c>
      <c r="O366" s="1">
        <f t="shared" si="260"/>
        <v>-5.699097653756522</v>
      </c>
      <c r="P366" s="1">
        <f t="shared" si="260"/>
        <v>-4.645541691223481</v>
      </c>
      <c r="Q366" s="1">
        <f t="shared" si="260"/>
        <v>-3.205257184231831</v>
      </c>
      <c r="R366" s="1">
        <f t="shared" si="260"/>
        <v>-0.9774286490251254</v>
      </c>
      <c r="S366" s="1">
        <f t="shared" si="260"/>
        <v>1.743496713605297</v>
      </c>
      <c r="T366" s="1">
        <f t="shared" si="260"/>
        <v>4.124747242375288</v>
      </c>
      <c r="U366" s="1">
        <f t="shared" si="260"/>
        <v>5.888597973112374</v>
      </c>
      <c r="V366" s="1">
        <f t="shared" si="260"/>
        <v>8.191379093491514</v>
      </c>
      <c r="W366" s="1">
        <f t="shared" si="260"/>
        <v>12.965407151581298</v>
      </c>
      <c r="X366" s="1">
        <f t="shared" si="260"/>
        <v>19.998521255443116</v>
      </c>
      <c r="Y366" s="1">
        <f t="shared" si="260"/>
        <v>22.66743855126926</v>
      </c>
      <c r="Z366" s="1">
        <f t="shared" si="260"/>
        <v>11.345041045281988</v>
      </c>
    </row>
    <row r="367" spans="1:26" ht="16.5" thickBot="1">
      <c r="A367" s="90" t="s">
        <v>317</v>
      </c>
      <c r="B367" s="25">
        <f aca="true" t="shared" si="261" ref="B367:Z367">B366-(B242+B262+B277+B198+B177)</f>
        <v>0</v>
      </c>
      <c r="C367" s="25">
        <f t="shared" si="261"/>
        <v>0</v>
      </c>
      <c r="D367" s="25">
        <f t="shared" si="261"/>
        <v>0</v>
      </c>
      <c r="E367" s="25">
        <f t="shared" si="261"/>
        <v>0</v>
      </c>
      <c r="F367" s="25">
        <f t="shared" si="261"/>
        <v>0</v>
      </c>
      <c r="G367" s="25">
        <f t="shared" si="261"/>
        <v>0</v>
      </c>
      <c r="H367" s="25">
        <f t="shared" si="261"/>
        <v>0</v>
      </c>
      <c r="I367" s="25">
        <f t="shared" si="261"/>
        <v>0</v>
      </c>
      <c r="J367" s="25">
        <f t="shared" si="261"/>
        <v>0</v>
      </c>
      <c r="K367" s="25">
        <f t="shared" si="261"/>
        <v>0</v>
      </c>
      <c r="L367" s="25">
        <f t="shared" si="261"/>
        <v>0</v>
      </c>
      <c r="M367" s="25">
        <f t="shared" si="261"/>
        <v>0</v>
      </c>
      <c r="N367" s="25">
        <f t="shared" si="261"/>
        <v>0</v>
      </c>
      <c r="O367" s="25">
        <f t="shared" si="261"/>
        <v>0</v>
      </c>
      <c r="P367" s="25">
        <f t="shared" si="261"/>
        <v>0</v>
      </c>
      <c r="Q367" s="25">
        <f t="shared" si="261"/>
        <v>0</v>
      </c>
      <c r="R367" s="25">
        <f t="shared" si="261"/>
        <v>0</v>
      </c>
      <c r="S367" s="25">
        <f t="shared" si="261"/>
        <v>0</v>
      </c>
      <c r="T367" s="25">
        <f t="shared" si="261"/>
        <v>0</v>
      </c>
      <c r="U367" s="25">
        <f t="shared" si="261"/>
        <v>0</v>
      </c>
      <c r="V367" s="25">
        <f t="shared" si="261"/>
        <v>0</v>
      </c>
      <c r="W367" s="25">
        <f t="shared" si="261"/>
        <v>0</v>
      </c>
      <c r="X367" s="25">
        <f t="shared" si="261"/>
        <v>0</v>
      </c>
      <c r="Y367" s="25">
        <f t="shared" si="261"/>
        <v>0</v>
      </c>
      <c r="Z367" s="25">
        <f t="shared" si="261"/>
        <v>0</v>
      </c>
    </row>
    <row r="369" ht="16.5" thickBot="1">
      <c r="A369" s="26" t="s">
        <v>187</v>
      </c>
    </row>
    <row r="370" spans="1:26" ht="15.75">
      <c r="A370" s="79" t="s">
        <v>343</v>
      </c>
      <c r="B370" s="1">
        <f>B362</f>
        <v>-1.3575589759349607</v>
      </c>
      <c r="C370" s="1">
        <f aca="true" t="shared" si="262" ref="C370:Z371">C362</f>
        <v>-3.3260932654116977</v>
      </c>
      <c r="D370" s="1">
        <f t="shared" si="262"/>
        <v>-3.7249870295688066</v>
      </c>
      <c r="E370" s="1">
        <f t="shared" si="262"/>
        <v>-2.3193746503632924</v>
      </c>
      <c r="F370" s="1">
        <f t="shared" si="262"/>
        <v>-0.7635820208994738</v>
      </c>
      <c r="G370" s="1">
        <f t="shared" si="262"/>
        <v>-0.5507915918862206</v>
      </c>
      <c r="H370" s="1">
        <f t="shared" si="262"/>
        <v>-1.632824237779344</v>
      </c>
      <c r="I370" s="1">
        <f t="shared" si="262"/>
        <v>-2.6574141046024677</v>
      </c>
      <c r="J370" s="1">
        <f t="shared" si="262"/>
        <v>-2.378561616842841</v>
      </c>
      <c r="K370" s="1">
        <f t="shared" si="262"/>
        <v>-0.9072905492159364</v>
      </c>
      <c r="L370" s="1">
        <f t="shared" si="262"/>
        <v>0.399149046011806</v>
      </c>
      <c r="M370" s="1">
        <f t="shared" si="262"/>
        <v>0.29251464820303485</v>
      </c>
      <c r="N370" s="1">
        <f t="shared" si="262"/>
        <v>-1.1185534735085487</v>
      </c>
      <c r="O370" s="1">
        <f t="shared" si="262"/>
        <v>-2.473583389376519</v>
      </c>
      <c r="P370" s="1">
        <f t="shared" si="262"/>
        <v>-2.5119639137645025</v>
      </c>
      <c r="Q370" s="1">
        <f t="shared" si="262"/>
        <v>-1.3196256312992458</v>
      </c>
      <c r="R370" s="1">
        <f t="shared" si="262"/>
        <v>-0.22610068121621815</v>
      </c>
      <c r="S370" s="1">
        <f t="shared" si="262"/>
        <v>-0.45729016267059597</v>
      </c>
      <c r="T370" s="1">
        <f t="shared" si="262"/>
        <v>-1.8915019348434454</v>
      </c>
      <c r="U370" s="1">
        <f t="shared" si="262"/>
        <v>-3.1609044353283307</v>
      </c>
      <c r="V370" s="1">
        <f t="shared" si="262"/>
        <v>-2.9947342539496593</v>
      </c>
      <c r="W370" s="1">
        <f t="shared" si="262"/>
        <v>-1.4643582334829743</v>
      </c>
      <c r="X370" s="1">
        <f t="shared" si="262"/>
        <v>0.08061314450558463</v>
      </c>
      <c r="Y370" s="1">
        <f t="shared" si="262"/>
        <v>0.22044821598226094</v>
      </c>
      <c r="Z370" s="1">
        <f t="shared" si="262"/>
        <v>-1.35456931705128</v>
      </c>
    </row>
    <row r="371" spans="1:26" ht="15.75">
      <c r="A371" s="49" t="s">
        <v>344</v>
      </c>
      <c r="B371" s="1">
        <f aca="true" t="shared" si="263" ref="B371:Q371">B363</f>
        <v>-4.9676189329631555</v>
      </c>
      <c r="C371" s="1">
        <f t="shared" si="263"/>
        <v>-5.031342952969519</v>
      </c>
      <c r="D371" s="1">
        <f t="shared" si="263"/>
        <v>-5.6637331107721955</v>
      </c>
      <c r="E371" s="1">
        <f t="shared" si="263"/>
        <v>-6.30208477224555</v>
      </c>
      <c r="F371" s="1">
        <f t="shared" si="263"/>
        <v>-6.310398170073764</v>
      </c>
      <c r="G371" s="1">
        <f t="shared" si="263"/>
        <v>-5.85061313652372</v>
      </c>
      <c r="H371" s="1">
        <f t="shared" si="263"/>
        <v>-5.472441740372011</v>
      </c>
      <c r="I371" s="1">
        <f t="shared" si="263"/>
        <v>-5.537136067636476</v>
      </c>
      <c r="J371" s="1">
        <f t="shared" si="263"/>
        <v>-5.984174792901475</v>
      </c>
      <c r="K371" s="1">
        <f t="shared" si="263"/>
        <v>-6.4418495306956345</v>
      </c>
      <c r="L371" s="1">
        <f t="shared" si="263"/>
        <v>-6.509918007197832</v>
      </c>
      <c r="M371" s="1">
        <f t="shared" si="263"/>
        <v>-6.024053862514025</v>
      </c>
      <c r="N371" s="1">
        <f t="shared" si="263"/>
        <v>-5.159646357353068</v>
      </c>
      <c r="O371" s="1">
        <f t="shared" si="263"/>
        <v>-4.327362512194183</v>
      </c>
      <c r="P371" s="1">
        <f t="shared" si="263"/>
        <v>-3.9290426667281113</v>
      </c>
      <c r="Q371" s="1">
        <f t="shared" si="263"/>
        <v>-4.121100054651128</v>
      </c>
      <c r="R371" s="1">
        <f t="shared" si="262"/>
        <v>-4.725969983364129</v>
      </c>
      <c r="S371" s="1">
        <f t="shared" si="262"/>
        <v>-5.343803268664217</v>
      </c>
      <c r="T371" s="1">
        <f t="shared" si="262"/>
        <v>-5.59911583472903</v>
      </c>
      <c r="U371" s="1">
        <f t="shared" si="262"/>
        <v>-5.377178428010636</v>
      </c>
      <c r="V371" s="1">
        <f t="shared" si="262"/>
        <v>-4.904582832069581</v>
      </c>
      <c r="W371" s="1">
        <f t="shared" si="262"/>
        <v>-4.599682350554247</v>
      </c>
      <c r="X371" s="1">
        <f t="shared" si="262"/>
        <v>-4.71753289499265</v>
      </c>
      <c r="Y371" s="1">
        <f t="shared" si="262"/>
        <v>-4.998825741734194</v>
      </c>
      <c r="Z371" s="1">
        <f t="shared" si="262"/>
        <v>-4.983896506196271</v>
      </c>
    </row>
    <row r="372" spans="1:26" ht="15.75">
      <c r="A372" s="49" t="s">
        <v>188</v>
      </c>
      <c r="B372" s="1">
        <f aca="true" t="shared" si="264" ref="B372:Z372">B364*B75/B26</f>
        <v>16.137050105134122</v>
      </c>
      <c r="C372" s="1">
        <f t="shared" si="264"/>
        <v>-2.3257956930523016</v>
      </c>
      <c r="D372" s="1">
        <f t="shared" si="264"/>
        <v>-8.142686649616971</v>
      </c>
      <c r="E372" s="1">
        <f t="shared" si="264"/>
        <v>-3.6389732247323234</v>
      </c>
      <c r="F372" s="1">
        <f t="shared" si="264"/>
        <v>-0.8340836029442923</v>
      </c>
      <c r="G372" s="1">
        <f t="shared" si="264"/>
        <v>-2.4163339807120257</v>
      </c>
      <c r="H372" s="1">
        <f t="shared" si="264"/>
        <v>-5.6719590217157005</v>
      </c>
      <c r="I372" s="1">
        <f t="shared" si="264"/>
        <v>-8.200669130483622</v>
      </c>
      <c r="J372" s="1">
        <f t="shared" si="264"/>
        <v>-9.65523328990605</v>
      </c>
      <c r="K372" s="1">
        <f t="shared" si="264"/>
        <v>-10.938189694858627</v>
      </c>
      <c r="L372" s="1">
        <f t="shared" si="264"/>
        <v>-12.406238663488356</v>
      </c>
      <c r="M372" s="1">
        <f t="shared" si="264"/>
        <v>-13.077088243047713</v>
      </c>
      <c r="N372" s="1">
        <f t="shared" si="264"/>
        <v>-11.859837929809357</v>
      </c>
      <c r="O372" s="1">
        <f t="shared" si="264"/>
        <v>-9.205678231811868</v>
      </c>
      <c r="P372" s="1">
        <f t="shared" si="264"/>
        <v>-6.745241401701861</v>
      </c>
      <c r="Q372" s="1">
        <f t="shared" si="264"/>
        <v>-5.138354513611789</v>
      </c>
      <c r="R372" s="1">
        <f t="shared" si="264"/>
        <v>-3.0775996351115174</v>
      </c>
      <c r="S372" s="1">
        <f t="shared" si="264"/>
        <v>0.9079251489866071</v>
      </c>
      <c r="T372" s="1">
        <f t="shared" si="264"/>
        <v>6.148705321567297</v>
      </c>
      <c r="U372" s="1">
        <f t="shared" si="264"/>
        <v>10.461921779792977</v>
      </c>
      <c r="V372" s="1">
        <f t="shared" si="264"/>
        <v>13.359392236114198</v>
      </c>
      <c r="W372" s="1">
        <f t="shared" si="264"/>
        <v>17.410280720846696</v>
      </c>
      <c r="X372" s="1">
        <f t="shared" si="264"/>
        <v>24.260477480038087</v>
      </c>
      <c r="Y372" s="1">
        <f t="shared" si="264"/>
        <v>27.62537459205072</v>
      </c>
      <c r="Z372" s="1">
        <f t="shared" si="264"/>
        <v>16.3442584138237</v>
      </c>
    </row>
    <row r="373" spans="1:26" ht="16.5" thickBot="1">
      <c r="A373" s="50" t="s">
        <v>345</v>
      </c>
      <c r="B373" s="1">
        <f aca="true" t="shared" si="265" ref="B373:Z373">B370*B33+B371*B34+B372*B26</f>
        <v>11.193880435606259</v>
      </c>
      <c r="C373" s="1">
        <f t="shared" si="265"/>
        <v>-6.245437399992282</v>
      </c>
      <c r="D373" s="1">
        <f t="shared" si="265"/>
        <v>-11.097183973093388</v>
      </c>
      <c r="E373" s="1">
        <f t="shared" si="265"/>
        <v>-6.342674152861997</v>
      </c>
      <c r="F373" s="1">
        <f t="shared" si="265"/>
        <v>-3.211831067320988</v>
      </c>
      <c r="G373" s="1">
        <f t="shared" si="265"/>
        <v>-3.2777368797276063</v>
      </c>
      <c r="H373" s="1">
        <f t="shared" si="265"/>
        <v>-3.9189902812522526</v>
      </c>
      <c r="I373" s="1">
        <f t="shared" si="265"/>
        <v>-4.094143478952312</v>
      </c>
      <c r="J373" s="1">
        <f t="shared" si="265"/>
        <v>-4.507068682513474</v>
      </c>
      <c r="K373" s="1">
        <f t="shared" si="265"/>
        <v>-5.642763687577667</v>
      </c>
      <c r="L373" s="1">
        <f t="shared" si="265"/>
        <v>-6.871908132031818</v>
      </c>
      <c r="M373" s="1">
        <f t="shared" si="265"/>
        <v>-7.269073637964406</v>
      </c>
      <c r="N373" s="1">
        <f t="shared" si="265"/>
        <v>-6.689156143619359</v>
      </c>
      <c r="O373" s="1">
        <f t="shared" si="265"/>
        <v>-5.699097653756522</v>
      </c>
      <c r="P373" s="1">
        <f t="shared" si="265"/>
        <v>-4.645541691223481</v>
      </c>
      <c r="Q373" s="1">
        <f t="shared" si="265"/>
        <v>-3.205257184231831</v>
      </c>
      <c r="R373" s="1">
        <f t="shared" si="265"/>
        <v>-0.9774286490251254</v>
      </c>
      <c r="S373" s="1">
        <f t="shared" si="265"/>
        <v>1.743496713605297</v>
      </c>
      <c r="T373" s="1">
        <f t="shared" si="265"/>
        <v>4.124747242375288</v>
      </c>
      <c r="U373" s="1">
        <f t="shared" si="265"/>
        <v>5.888597973112374</v>
      </c>
      <c r="V373" s="1">
        <f t="shared" si="265"/>
        <v>8.191379093491514</v>
      </c>
      <c r="W373" s="1">
        <f t="shared" si="265"/>
        <v>12.965407151581298</v>
      </c>
      <c r="X373" s="1">
        <f t="shared" si="265"/>
        <v>19.998521255443116</v>
      </c>
      <c r="Y373" s="1">
        <f t="shared" si="265"/>
        <v>22.66743855126926</v>
      </c>
      <c r="Z373" s="1">
        <f t="shared" si="265"/>
        <v>11.345041045281988</v>
      </c>
    </row>
    <row r="374" spans="1:26" ht="16.5" thickBot="1">
      <c r="A374" s="90" t="s">
        <v>317</v>
      </c>
      <c r="B374" s="1">
        <f aca="true" t="shared" si="266" ref="B374:Z374">B373-(B242+B262+B277+B198+B177)</f>
        <v>0</v>
      </c>
      <c r="C374" s="1">
        <f t="shared" si="266"/>
        <v>0</v>
      </c>
      <c r="D374" s="1">
        <f t="shared" si="266"/>
        <v>0</v>
      </c>
      <c r="E374" s="1">
        <f t="shared" si="266"/>
        <v>0</v>
      </c>
      <c r="F374" s="1">
        <f t="shared" si="266"/>
        <v>0</v>
      </c>
      <c r="G374" s="1">
        <f t="shared" si="266"/>
        <v>0</v>
      </c>
      <c r="H374" s="1">
        <f t="shared" si="266"/>
        <v>0</v>
      </c>
      <c r="I374" s="1">
        <f t="shared" si="266"/>
        <v>0</v>
      </c>
      <c r="J374" s="1">
        <f t="shared" si="266"/>
        <v>0</v>
      </c>
      <c r="K374" s="1">
        <f t="shared" si="266"/>
        <v>0</v>
      </c>
      <c r="L374" s="1">
        <f t="shared" si="266"/>
        <v>0</v>
      </c>
      <c r="M374" s="1">
        <f t="shared" si="266"/>
        <v>0</v>
      </c>
      <c r="N374" s="1">
        <f t="shared" si="266"/>
        <v>0</v>
      </c>
      <c r="O374" s="1">
        <f t="shared" si="266"/>
        <v>0</v>
      </c>
      <c r="P374" s="1">
        <f t="shared" si="266"/>
        <v>0</v>
      </c>
      <c r="Q374" s="1">
        <f t="shared" si="266"/>
        <v>0</v>
      </c>
      <c r="R374" s="1">
        <f t="shared" si="266"/>
        <v>0</v>
      </c>
      <c r="S374" s="1">
        <f t="shared" si="266"/>
        <v>0</v>
      </c>
      <c r="T374" s="1">
        <f t="shared" si="266"/>
        <v>0</v>
      </c>
      <c r="U374" s="1">
        <f t="shared" si="266"/>
        <v>0</v>
      </c>
      <c r="V374" s="1">
        <f t="shared" si="266"/>
        <v>0</v>
      </c>
      <c r="W374" s="1">
        <f t="shared" si="266"/>
        <v>0</v>
      </c>
      <c r="X374" s="1">
        <f t="shared" si="266"/>
        <v>0</v>
      </c>
      <c r="Y374" s="1">
        <f t="shared" si="266"/>
        <v>0</v>
      </c>
      <c r="Z374" s="1">
        <f t="shared" si="266"/>
        <v>0</v>
      </c>
    </row>
    <row r="376" ht="15.75">
      <c r="A376" s="26" t="s">
        <v>189</v>
      </c>
    </row>
    <row r="377" spans="1:26" ht="15.75">
      <c r="A377" s="91" t="s">
        <v>190</v>
      </c>
      <c r="B377" s="1">
        <f aca="true" t="shared" si="267" ref="B377:Z377">B149+B370</f>
        <v>-0.8575589759349607</v>
      </c>
      <c r="C377" s="1">
        <f t="shared" si="267"/>
        <v>-2.968688737788272</v>
      </c>
      <c r="D377" s="1">
        <f t="shared" si="267"/>
        <v>-3.5479994012724556</v>
      </c>
      <c r="E377" s="1">
        <f t="shared" si="267"/>
        <v>-2.3284884467629654</v>
      </c>
      <c r="F377" s="1">
        <f t="shared" si="267"/>
        <v>-0.949386920946975</v>
      </c>
      <c r="G377" s="1">
        <f t="shared" si="267"/>
        <v>-0.9010449215332645</v>
      </c>
      <c r="H377" s="1">
        <f t="shared" si="267"/>
        <v>-2.1264496801428203</v>
      </c>
      <c r="I377" s="1">
        <f t="shared" si="267"/>
        <v>-3.261797005453814</v>
      </c>
      <c r="J377" s="1">
        <f t="shared" si="267"/>
        <v>-3.0530404439132326</v>
      </c>
      <c r="K377" s="1">
        <f t="shared" si="267"/>
        <v>-1.606619977378539</v>
      </c>
      <c r="L377" s="1">
        <f t="shared" si="267"/>
        <v>-0.2773592366829246</v>
      </c>
      <c r="M377" s="1">
        <f t="shared" si="267"/>
        <v>-0.31415251669024</v>
      </c>
      <c r="N377" s="1">
        <f t="shared" si="267"/>
        <v>-1.6132527639271124</v>
      </c>
      <c r="O377" s="1">
        <f t="shared" si="267"/>
        <v>-2.822493948970238</v>
      </c>
      <c r="P377" s="1">
        <f t="shared" si="267"/>
        <v>-2.691430296871975</v>
      </c>
      <c r="Q377" s="1">
        <f t="shared" si="267"/>
        <v>-1.3175897364182771</v>
      </c>
      <c r="R377" s="1">
        <f t="shared" si="267"/>
        <v>-0.04337589549566381</v>
      </c>
      <c r="S377" s="1">
        <f t="shared" si="267"/>
        <v>-0.10744582580009154</v>
      </c>
      <c r="T377" s="1">
        <f t="shared" si="267"/>
        <v>-1.3990289323080471</v>
      </c>
      <c r="U377" s="1">
        <f t="shared" si="267"/>
        <v>-2.559086341720827</v>
      </c>
      <c r="V377" s="1">
        <f t="shared" si="267"/>
        <v>-2.3240432645678637</v>
      </c>
      <c r="W377" s="1">
        <f t="shared" si="267"/>
        <v>-0.7700454244538146</v>
      </c>
      <c r="X377" s="1">
        <f t="shared" si="267"/>
        <v>0.7529534488649713</v>
      </c>
      <c r="Y377" s="1">
        <f t="shared" si="267"/>
        <v>0.8289840152909668</v>
      </c>
      <c r="Z377" s="1">
        <f t="shared" si="267"/>
        <v>-0.8496315342746366</v>
      </c>
    </row>
    <row r="378" spans="1:26" ht="15.75">
      <c r="A378" s="91" t="s">
        <v>191</v>
      </c>
      <c r="B378" s="1">
        <f aca="true" t="shared" si="268" ref="B378:Z378">B150+B371+$L$5</f>
        <v>5.342381067036845</v>
      </c>
      <c r="C378" s="1">
        <f t="shared" si="268"/>
        <v>5.388806027725232</v>
      </c>
      <c r="D378" s="1">
        <f t="shared" si="268"/>
        <v>4.833306522677757</v>
      </c>
      <c r="E378" s="1">
        <f t="shared" si="268"/>
        <v>4.213758025260603</v>
      </c>
      <c r="F378" s="1">
        <f t="shared" si="268"/>
        <v>4.175638321129237</v>
      </c>
      <c r="G378" s="1">
        <f t="shared" si="268"/>
        <v>4.56400727183298</v>
      </c>
      <c r="H378" s="1">
        <f t="shared" si="268"/>
        <v>4.831352606412172</v>
      </c>
      <c r="I378" s="1">
        <f t="shared" si="268"/>
        <v>4.622589524030319</v>
      </c>
      <c r="J378" s="1">
        <f t="shared" si="268"/>
        <v>4.007934004487091</v>
      </c>
      <c r="K378" s="1">
        <f t="shared" si="268"/>
        <v>3.369684083298023</v>
      </c>
      <c r="L378" s="1">
        <f t="shared" si="268"/>
        <v>3.119738860229714</v>
      </c>
      <c r="M378" s="1">
        <f t="shared" si="268"/>
        <v>3.43552028950449</v>
      </c>
      <c r="N378" s="1">
        <f t="shared" si="268"/>
        <v>4.154358679908118</v>
      </c>
      <c r="O378" s="1">
        <f t="shared" si="268"/>
        <v>4.87573641964385</v>
      </c>
      <c r="P378" s="1">
        <f t="shared" si="268"/>
        <v>5.204999419741647</v>
      </c>
      <c r="Q378" s="1">
        <f t="shared" si="268"/>
        <v>4.990362299882263</v>
      </c>
      <c r="R378" s="1">
        <f t="shared" si="268"/>
        <v>4.4109141051186365</v>
      </c>
      <c r="S378" s="1">
        <f t="shared" si="268"/>
        <v>3.8641862368952378</v>
      </c>
      <c r="T378" s="1">
        <f t="shared" si="268"/>
        <v>3.72012669655395</v>
      </c>
      <c r="U378" s="1">
        <f t="shared" si="268"/>
        <v>4.085972309682498</v>
      </c>
      <c r="V378" s="1">
        <f t="shared" si="268"/>
        <v>4.725755238944995</v>
      </c>
      <c r="W378" s="1">
        <f t="shared" si="268"/>
        <v>5.209210389747716</v>
      </c>
      <c r="X378" s="1">
        <f t="shared" si="268"/>
        <v>5.268118071641599</v>
      </c>
      <c r="Y378" s="1">
        <f t="shared" si="268"/>
        <v>5.151504246523531</v>
      </c>
      <c r="Z378" s="1">
        <f t="shared" si="268"/>
        <v>5.314200060011929</v>
      </c>
    </row>
    <row r="379" spans="1:26" ht="15.75">
      <c r="A379" s="91" t="s">
        <v>192</v>
      </c>
      <c r="B379" s="1">
        <f aca="true" t="shared" si="269" ref="B379:Z379">B151+B372-B370*B32+B371*B31-B149*B140+(B150+$L$5)*B139</f>
        <v>6.28888043560626</v>
      </c>
      <c r="C379" s="1">
        <f t="shared" si="269"/>
        <v>-9.704362841058888</v>
      </c>
      <c r="D379" s="1">
        <f t="shared" si="269"/>
        <v>-12.888854473124976</v>
      </c>
      <c r="E379" s="1">
        <f t="shared" si="269"/>
        <v>-6.367683946921707</v>
      </c>
      <c r="F379" s="1">
        <f t="shared" si="269"/>
        <v>-1.4397783802426407</v>
      </c>
      <c r="G379" s="1">
        <f t="shared" si="269"/>
        <v>0.16890442070544376</v>
      </c>
      <c r="H379" s="1">
        <f t="shared" si="269"/>
        <v>0.9613771631118535</v>
      </c>
      <c r="I379" s="1">
        <f t="shared" si="269"/>
        <v>1.8888584629196226</v>
      </c>
      <c r="J379" s="1">
        <f t="shared" si="269"/>
        <v>2.1688577092750805</v>
      </c>
      <c r="K379" s="1">
        <f t="shared" si="269"/>
        <v>1.265916844818742</v>
      </c>
      <c r="L379" s="1">
        <f t="shared" si="269"/>
        <v>-0.20379389912028056</v>
      </c>
      <c r="M379" s="1">
        <f t="shared" si="269"/>
        <v>-1.2956723202508291</v>
      </c>
      <c r="N379" s="1">
        <f t="shared" si="269"/>
        <v>-1.8174423699097053</v>
      </c>
      <c r="O379" s="1">
        <f t="shared" si="269"/>
        <v>-2.262129791075629</v>
      </c>
      <c r="P379" s="1">
        <f t="shared" si="269"/>
        <v>-2.8791901522318355</v>
      </c>
      <c r="Q379" s="1">
        <f t="shared" si="269"/>
        <v>-3.2291758885182666</v>
      </c>
      <c r="R379" s="1">
        <f t="shared" si="269"/>
        <v>-2.784354403165966</v>
      </c>
      <c r="S379" s="1">
        <f t="shared" si="269"/>
        <v>-1.7155338183785453</v>
      </c>
      <c r="T379" s="1">
        <f t="shared" si="269"/>
        <v>-0.747799874334464</v>
      </c>
      <c r="U379" s="1">
        <f t="shared" si="269"/>
        <v>-0.06718111604999777</v>
      </c>
      <c r="V379" s="1">
        <f t="shared" si="269"/>
        <v>1.5659016820332479</v>
      </c>
      <c r="W379" s="1">
        <f t="shared" si="269"/>
        <v>6.149948762021305</v>
      </c>
      <c r="X379" s="1">
        <f t="shared" si="269"/>
        <v>13.482382586554124</v>
      </c>
      <c r="Y379" s="1">
        <f t="shared" si="269"/>
        <v>16.84121656844367</v>
      </c>
      <c r="Z379" s="1">
        <f t="shared" si="269"/>
        <v>6.505023298326684</v>
      </c>
    </row>
    <row r="380" ht="15.75">
      <c r="A380" s="91"/>
    </row>
    <row r="381" spans="1:26" ht="15.75">
      <c r="A381" s="91" t="s">
        <v>193</v>
      </c>
      <c r="B381" s="1">
        <f aca="true" t="shared" si="270" ref="B381:Z381">B379*B26</f>
        <v>6.28888043560626</v>
      </c>
      <c r="C381" s="1">
        <f t="shared" si="270"/>
        <v>-9.704362841058888</v>
      </c>
      <c r="D381" s="1">
        <f t="shared" si="270"/>
        <v>-12.910075005969347</v>
      </c>
      <c r="E381" s="1">
        <f t="shared" si="270"/>
        <v>-6.361990147307925</v>
      </c>
      <c r="F381" s="1">
        <f t="shared" si="270"/>
        <v>-1.4336407215973315</v>
      </c>
      <c r="G381" s="1">
        <f t="shared" si="270"/>
        <v>0.16790256975030038</v>
      </c>
      <c r="H381" s="1">
        <f t="shared" si="270"/>
        <v>0.955310860174665</v>
      </c>
      <c r="I381" s="1">
        <f t="shared" si="270"/>
        <v>1.8770237623477857</v>
      </c>
      <c r="J381" s="1">
        <f t="shared" si="270"/>
        <v>2.1558180065566424</v>
      </c>
      <c r="K381" s="1">
        <f t="shared" si="270"/>
        <v>1.2589357886381911</v>
      </c>
      <c r="L381" s="1">
        <f t="shared" si="270"/>
        <v>-0.20278646750802204</v>
      </c>
      <c r="M381" s="1">
        <f t="shared" si="270"/>
        <v>-1.2896991017381518</v>
      </c>
      <c r="N381" s="1">
        <f t="shared" si="270"/>
        <v>-1.8089662754246825</v>
      </c>
      <c r="O381" s="1">
        <f t="shared" si="270"/>
        <v>-2.2508089038450336</v>
      </c>
      <c r="P381" s="1">
        <f t="shared" si="270"/>
        <v>-2.863404817516544</v>
      </c>
      <c r="Q381" s="1">
        <f t="shared" si="270"/>
        <v>-3.209549720904602</v>
      </c>
      <c r="R381" s="1">
        <f t="shared" si="270"/>
        <v>-2.765321421916183</v>
      </c>
      <c r="S381" s="1">
        <f t="shared" si="270"/>
        <v>-1.7023477880195248</v>
      </c>
      <c r="T381" s="1">
        <f t="shared" si="270"/>
        <v>-0.7415032390800652</v>
      </c>
      <c r="U381" s="1">
        <f t="shared" si="270"/>
        <v>-0.06658503017270033</v>
      </c>
      <c r="V381" s="1">
        <f t="shared" si="270"/>
        <v>1.5516985545992241</v>
      </c>
      <c r="W381" s="1">
        <f t="shared" si="270"/>
        <v>6.094058025544513</v>
      </c>
      <c r="X381" s="1">
        <f t="shared" si="270"/>
        <v>13.365432411385191</v>
      </c>
      <c r="Y381" s="1">
        <f t="shared" si="270"/>
        <v>16.722494805305818</v>
      </c>
      <c r="Z381" s="1">
        <f t="shared" si="270"/>
        <v>6.482327846040688</v>
      </c>
    </row>
    <row r="382" spans="1:26" ht="15.75">
      <c r="A382" s="91" t="s">
        <v>169</v>
      </c>
      <c r="B382" s="1">
        <f aca="true" t="shared" si="271" ref="B382:Z382">B381-(B242+B262+B277+B198+B177+B155)</f>
        <v>0</v>
      </c>
      <c r="C382" s="1">
        <f t="shared" si="271"/>
        <v>0</v>
      </c>
      <c r="D382" s="1">
        <f t="shared" si="271"/>
        <v>0</v>
      </c>
      <c r="E382" s="1">
        <f t="shared" si="271"/>
        <v>0</v>
      </c>
      <c r="F382" s="1">
        <f t="shared" si="271"/>
        <v>0</v>
      </c>
      <c r="G382" s="1">
        <f t="shared" si="271"/>
        <v>0</v>
      </c>
      <c r="H382" s="1">
        <f t="shared" si="271"/>
        <v>0</v>
      </c>
      <c r="I382" s="1">
        <f t="shared" si="271"/>
        <v>0</v>
      </c>
      <c r="J382" s="1">
        <f t="shared" si="271"/>
        <v>0</v>
      </c>
      <c r="K382" s="1">
        <f t="shared" si="271"/>
        <v>3.3306690738754696E-15</v>
      </c>
      <c r="L382" s="1">
        <f t="shared" si="271"/>
        <v>3.7192471324942744E-15</v>
      </c>
      <c r="M382" s="1">
        <f t="shared" si="271"/>
        <v>2.6645352591003757E-15</v>
      </c>
      <c r="N382" s="1">
        <f t="shared" si="271"/>
        <v>-2.220446049250313E-15</v>
      </c>
      <c r="O382" s="1">
        <f t="shared" si="271"/>
        <v>-4.440892098500626E-15</v>
      </c>
      <c r="P382" s="1">
        <f t="shared" si="271"/>
        <v>0</v>
      </c>
      <c r="Q382" s="1">
        <f t="shared" si="271"/>
        <v>0</v>
      </c>
      <c r="R382" s="1">
        <f t="shared" si="271"/>
        <v>0</v>
      </c>
      <c r="S382" s="1">
        <f t="shared" si="271"/>
        <v>0</v>
      </c>
      <c r="T382" s="1">
        <f t="shared" si="271"/>
        <v>0</v>
      </c>
      <c r="U382" s="1">
        <f t="shared" si="271"/>
        <v>-5.412337245047638E-16</v>
      </c>
      <c r="V382" s="1">
        <f t="shared" si="271"/>
        <v>0</v>
      </c>
      <c r="W382" s="1">
        <f t="shared" si="271"/>
        <v>-7.105427357601002E-15</v>
      </c>
      <c r="X382" s="1">
        <f t="shared" si="271"/>
        <v>0</v>
      </c>
      <c r="Y382" s="1">
        <f t="shared" si="271"/>
        <v>0</v>
      </c>
      <c r="Z382" s="1">
        <f t="shared" si="271"/>
        <v>0</v>
      </c>
    </row>
    <row r="384" spans="1:6" ht="15.75">
      <c r="A384" s="153" t="s">
        <v>196</v>
      </c>
      <c r="B384" s="26"/>
      <c r="C384" s="26"/>
      <c r="D384" s="26"/>
      <c r="E384" s="26"/>
      <c r="F384" s="26"/>
    </row>
    <row r="385" ht="15.75">
      <c r="P385" s="26"/>
    </row>
    <row r="386" ht="15.75">
      <c r="A386" s="26" t="s">
        <v>350</v>
      </c>
    </row>
    <row r="387" spans="1:26" ht="15.75">
      <c r="A387" s="75" t="s">
        <v>427</v>
      </c>
      <c r="B387" s="100">
        <f aca="true" t="shared" si="272" ref="B387:Z387">(B301*B132*B123)/B392</f>
        <v>-75.39928411475154</v>
      </c>
      <c r="C387" s="100">
        <f t="shared" si="272"/>
        <v>-28.968746734365887</v>
      </c>
      <c r="D387" s="100">
        <f t="shared" si="272"/>
        <v>-12.109095753608907</v>
      </c>
      <c r="E387" s="100">
        <f t="shared" si="272"/>
        <v>-11.21067498935327</v>
      </c>
      <c r="F387" s="100">
        <f t="shared" si="272"/>
        <v>-15.231232462988219</v>
      </c>
      <c r="G387" s="100">
        <f t="shared" si="272"/>
        <v>-20.43405857066048</v>
      </c>
      <c r="H387" s="100">
        <f t="shared" si="272"/>
        <v>-25.936355465449832</v>
      </c>
      <c r="I387" s="100">
        <f t="shared" si="272"/>
        <v>-31.13844454047773</v>
      </c>
      <c r="J387" s="100">
        <f t="shared" si="272"/>
        <v>-36.1222751571966</v>
      </c>
      <c r="K387" s="100">
        <f t="shared" si="272"/>
        <v>-42.42330844607513</v>
      </c>
      <c r="L387" s="100">
        <f t="shared" si="272"/>
        <v>-52.44402068315292</v>
      </c>
      <c r="M387" s="100">
        <f t="shared" si="272"/>
        <v>-67.92837658787639</v>
      </c>
      <c r="N387" s="100">
        <f t="shared" si="272"/>
        <v>-89.45174793302097</v>
      </c>
      <c r="O387" s="100">
        <f t="shared" si="272"/>
        <v>-117.97588099495628</v>
      </c>
      <c r="P387" s="100">
        <f t="shared" si="272"/>
        <v>-157.053486176195</v>
      </c>
      <c r="Q387" s="100">
        <f t="shared" si="272"/>
        <v>-213.2300282862538</v>
      </c>
      <c r="R387" s="100">
        <f t="shared" si="272"/>
        <v>-294.1197588147883</v>
      </c>
      <c r="S387" s="100">
        <f t="shared" si="272"/>
        <v>-405.2121931462225</v>
      </c>
      <c r="T387" s="100">
        <f t="shared" si="272"/>
        <v>-537.3316466231365</v>
      </c>
      <c r="U387" s="100">
        <f t="shared" si="272"/>
        <v>-624.3332206117751</v>
      </c>
      <c r="V387" s="100">
        <f t="shared" si="272"/>
        <v>-571.3383647881603</v>
      </c>
      <c r="W387" s="100">
        <f t="shared" si="272"/>
        <v>-423.2185017825116</v>
      </c>
      <c r="X387" s="100">
        <f t="shared" si="272"/>
        <v>-275.3512407563898</v>
      </c>
      <c r="Y387" s="100">
        <f t="shared" si="272"/>
        <v>-158.58642403376416</v>
      </c>
      <c r="Z387" s="1">
        <f t="shared" si="272"/>
        <v>-75.98701618762973</v>
      </c>
    </row>
    <row r="388" spans="1:26" ht="15.75">
      <c r="A388" s="75" t="s">
        <v>428</v>
      </c>
      <c r="B388" s="100">
        <f aca="true" t="shared" si="273" ref="B388:Z388">(-B301*B131*B123)/B392</f>
        <v>41.017074648590764</v>
      </c>
      <c r="C388" s="100">
        <f t="shared" si="273"/>
        <v>17.348715376587887</v>
      </c>
      <c r="D388" s="100">
        <f t="shared" si="273"/>
        <v>8.175165832172363</v>
      </c>
      <c r="E388" s="100">
        <f t="shared" si="273"/>
        <v>8.41330508837219</v>
      </c>
      <c r="F388" s="100">
        <f t="shared" si="273"/>
        <v>12.10166264920541</v>
      </c>
      <c r="G388" s="100">
        <f t="shared" si="273"/>
        <v>16.21450819103553</v>
      </c>
      <c r="H388" s="100">
        <f t="shared" si="273"/>
        <v>19.64939368311234</v>
      </c>
      <c r="I388" s="100">
        <f t="shared" si="273"/>
        <v>21.993295711524052</v>
      </c>
      <c r="J388" s="100">
        <f t="shared" si="273"/>
        <v>23.64576772441901</v>
      </c>
      <c r="K388" s="100">
        <f t="shared" si="273"/>
        <v>25.873107095711546</v>
      </c>
      <c r="L388" s="100">
        <f t="shared" si="273"/>
        <v>30.117210663667446</v>
      </c>
      <c r="M388" s="100">
        <f t="shared" si="273"/>
        <v>37.18157442929512</v>
      </c>
      <c r="N388" s="100">
        <f t="shared" si="273"/>
        <v>47.213353290205646</v>
      </c>
      <c r="O388" s="100">
        <f t="shared" si="273"/>
        <v>60.65170755160642</v>
      </c>
      <c r="P388" s="100">
        <f t="shared" si="273"/>
        <v>79.2930752439439</v>
      </c>
      <c r="Q388" s="100">
        <f t="shared" si="273"/>
        <v>106.39784987004221</v>
      </c>
      <c r="R388" s="100">
        <f t="shared" si="273"/>
        <v>145.72492018942145</v>
      </c>
      <c r="S388" s="100">
        <f t="shared" si="273"/>
        <v>199.99532252274142</v>
      </c>
      <c r="T388" s="100">
        <f t="shared" si="273"/>
        <v>264.7343855199185</v>
      </c>
      <c r="U388" s="100">
        <f t="shared" si="273"/>
        <v>307.4618032624732</v>
      </c>
      <c r="V388" s="100">
        <f t="shared" si="273"/>
        <v>281.59749507475453</v>
      </c>
      <c r="W388" s="100">
        <f t="shared" si="273"/>
        <v>209.3255883328706</v>
      </c>
      <c r="X388" s="100">
        <f t="shared" si="273"/>
        <v>137.6368245643556</v>
      </c>
      <c r="Y388" s="100">
        <f t="shared" si="273"/>
        <v>81.44755215608637</v>
      </c>
      <c r="Z388" s="1">
        <f t="shared" si="273"/>
        <v>41.33679983682899</v>
      </c>
    </row>
    <row r="389" spans="1:26" ht="15.75">
      <c r="A389" s="75" t="s">
        <v>198</v>
      </c>
      <c r="B389" s="100">
        <f aca="true" t="shared" si="274" ref="B389:Z389">B387*B107+B388*B108-B301*B123</f>
        <v>0</v>
      </c>
      <c r="C389" s="100">
        <f t="shared" si="274"/>
        <v>0</v>
      </c>
      <c r="D389" s="100">
        <f t="shared" si="274"/>
        <v>0</v>
      </c>
      <c r="E389" s="100">
        <f t="shared" si="274"/>
        <v>0</v>
      </c>
      <c r="F389" s="100">
        <f t="shared" si="274"/>
        <v>0</v>
      </c>
      <c r="G389" s="100">
        <f t="shared" si="274"/>
        <v>0</v>
      </c>
      <c r="H389" s="100">
        <f t="shared" si="274"/>
        <v>0</v>
      </c>
      <c r="I389" s="100">
        <f t="shared" si="274"/>
        <v>0</v>
      </c>
      <c r="J389" s="100">
        <f t="shared" si="274"/>
        <v>0</v>
      </c>
      <c r="K389" s="100">
        <f t="shared" si="274"/>
        <v>0</v>
      </c>
      <c r="L389" s="100">
        <f t="shared" si="274"/>
        <v>0</v>
      </c>
      <c r="M389" s="100">
        <f t="shared" si="274"/>
        <v>0</v>
      </c>
      <c r="N389" s="100">
        <f t="shared" si="274"/>
        <v>0</v>
      </c>
      <c r="O389" s="100">
        <f t="shared" si="274"/>
        <v>0</v>
      </c>
      <c r="P389" s="100">
        <f t="shared" si="274"/>
        <v>0</v>
      </c>
      <c r="Q389" s="100">
        <f t="shared" si="274"/>
        <v>0</v>
      </c>
      <c r="R389" s="100">
        <f t="shared" si="274"/>
        <v>0</v>
      </c>
      <c r="S389" s="100">
        <f t="shared" si="274"/>
        <v>8.881784197001252E-15</v>
      </c>
      <c r="T389" s="100">
        <f t="shared" si="274"/>
        <v>6.661338147750939E-15</v>
      </c>
      <c r="U389" s="100">
        <f t="shared" si="274"/>
        <v>4.996003610813204E-16</v>
      </c>
      <c r="V389" s="100">
        <f t="shared" si="274"/>
        <v>0</v>
      </c>
      <c r="W389" s="100">
        <f t="shared" si="274"/>
        <v>0</v>
      </c>
      <c r="X389" s="100">
        <f t="shared" si="274"/>
        <v>0</v>
      </c>
      <c r="Y389" s="100">
        <f t="shared" si="274"/>
        <v>0</v>
      </c>
      <c r="Z389" s="1">
        <f t="shared" si="274"/>
        <v>0</v>
      </c>
    </row>
    <row r="390" spans="1:26" ht="15.75">
      <c r="A390" s="75" t="s">
        <v>429</v>
      </c>
      <c r="B390" s="100">
        <f aca="true" t="shared" si="275" ref="B390:Z390">B299+B387</f>
        <v>-73.82360078470477</v>
      </c>
      <c r="C390" s="100">
        <f t="shared" si="275"/>
        <v>-23.86112148649791</v>
      </c>
      <c r="D390" s="100">
        <f t="shared" si="275"/>
        <v>-5.774663754345974</v>
      </c>
      <c r="E390" s="100">
        <f t="shared" si="275"/>
        <v>-6.955138617917406</v>
      </c>
      <c r="F390" s="100">
        <f t="shared" si="275"/>
        <v>-13.546213569995187</v>
      </c>
      <c r="G390" s="100">
        <f t="shared" si="275"/>
        <v>-18.86979109830427</v>
      </c>
      <c r="H390" s="100">
        <f t="shared" si="275"/>
        <v>-22.046941334138516</v>
      </c>
      <c r="I390" s="100">
        <f t="shared" si="275"/>
        <v>-25.11381738866461</v>
      </c>
      <c r="J390" s="100">
        <f t="shared" si="275"/>
        <v>-30.61202777208347</v>
      </c>
      <c r="K390" s="100">
        <f t="shared" si="275"/>
        <v>-39.84584449448193</v>
      </c>
      <c r="L390" s="100">
        <f t="shared" si="275"/>
        <v>-52.50626585390695</v>
      </c>
      <c r="M390" s="100">
        <f t="shared" si="275"/>
        <v>-67.84686280231982</v>
      </c>
      <c r="N390" s="100">
        <f t="shared" si="275"/>
        <v>-86.66272025920341</v>
      </c>
      <c r="O390" s="100">
        <f t="shared" si="275"/>
        <v>-112.63226522050246</v>
      </c>
      <c r="P390" s="100">
        <f t="shared" si="275"/>
        <v>-151.8179122267093</v>
      </c>
      <c r="Q390" s="100">
        <f t="shared" si="275"/>
        <v>-210.57450374606182</v>
      </c>
      <c r="R390" s="100">
        <f t="shared" si="275"/>
        <v>-293.8321961564555</v>
      </c>
      <c r="S390" s="100">
        <f t="shared" si="275"/>
        <v>-404.6002423947927</v>
      </c>
      <c r="T390" s="100">
        <f t="shared" si="275"/>
        <v>-533.918018331762</v>
      </c>
      <c r="U390" s="100">
        <f t="shared" si="275"/>
        <v>-618.3523906152802</v>
      </c>
      <c r="V390" s="100">
        <f t="shared" si="275"/>
        <v>-565.5594207478308</v>
      </c>
      <c r="W390" s="100">
        <f t="shared" si="275"/>
        <v>-420.31659074845635</v>
      </c>
      <c r="X390" s="100">
        <f t="shared" si="275"/>
        <v>-275.4819356020374</v>
      </c>
      <c r="Y390" s="100">
        <f t="shared" si="275"/>
        <v>-159.37092464399655</v>
      </c>
      <c r="Z390" s="1">
        <f t="shared" si="275"/>
        <v>-74.4092421023172</v>
      </c>
    </row>
    <row r="391" spans="1:26" ht="15.75">
      <c r="A391" s="75" t="s">
        <v>430</v>
      </c>
      <c r="B391" s="100">
        <f aca="true" t="shared" si="276" ref="B391:Z391">B300+B388</f>
        <v>51.22012106610033</v>
      </c>
      <c r="C391" s="100">
        <f t="shared" si="276"/>
        <v>26.645772773284882</v>
      </c>
      <c r="D391" s="100">
        <f t="shared" si="276"/>
        <v>16.955694285254523</v>
      </c>
      <c r="E391" s="100">
        <f t="shared" si="276"/>
        <v>16.822677099557694</v>
      </c>
      <c r="F391" s="100">
        <f t="shared" si="276"/>
        <v>19.700058685316705</v>
      </c>
      <c r="G391" s="100">
        <f t="shared" si="276"/>
        <v>22.938863210214112</v>
      </c>
      <c r="H391" s="100">
        <f t="shared" si="276"/>
        <v>26.225423317090907</v>
      </c>
      <c r="I391" s="100">
        <f t="shared" si="276"/>
        <v>29.52094801036299</v>
      </c>
      <c r="J391" s="100">
        <f t="shared" si="276"/>
        <v>32.888998651119245</v>
      </c>
      <c r="K391" s="100">
        <f t="shared" si="276"/>
        <v>36.76758409723528</v>
      </c>
      <c r="L391" s="100">
        <f t="shared" si="276"/>
        <v>41.78470901856278</v>
      </c>
      <c r="M391" s="100">
        <f t="shared" si="276"/>
        <v>48.42949183711372</v>
      </c>
      <c r="N391" s="100">
        <f t="shared" si="276"/>
        <v>57.22042466203277</v>
      </c>
      <c r="O391" s="100">
        <f t="shared" si="276"/>
        <v>69.43596001929347</v>
      </c>
      <c r="P391" s="100">
        <f t="shared" si="276"/>
        <v>87.68684312851175</v>
      </c>
      <c r="Q391" s="100">
        <f t="shared" si="276"/>
        <v>115.54629543693797</v>
      </c>
      <c r="R391" s="100">
        <f t="shared" si="276"/>
        <v>156.4069970168821</v>
      </c>
      <c r="S391" s="100">
        <f t="shared" si="276"/>
        <v>212.17094744656134</v>
      </c>
      <c r="T391" s="100">
        <f t="shared" si="276"/>
        <v>277.58791705928576</v>
      </c>
      <c r="U391" s="100">
        <f t="shared" si="276"/>
        <v>319.91923232930094</v>
      </c>
      <c r="V391" s="100">
        <f t="shared" si="276"/>
        <v>293.0085245334763</v>
      </c>
      <c r="W391" s="100">
        <f t="shared" si="276"/>
        <v>219.86709848485214</v>
      </c>
      <c r="X391" s="100">
        <f t="shared" si="276"/>
        <v>148.0558857010782</v>
      </c>
      <c r="Y391" s="100">
        <f t="shared" si="276"/>
        <v>92.10746319555558</v>
      </c>
      <c r="Z391" s="1">
        <f t="shared" si="276"/>
        <v>51.58168658666641</v>
      </c>
    </row>
    <row r="392" spans="1:26" ht="15.75">
      <c r="A392" s="75" t="s">
        <v>197</v>
      </c>
      <c r="B392" s="1">
        <f>B107*B132-B131*B108</f>
        <v>0.5608218313302998</v>
      </c>
      <c r="C392" s="1">
        <f aca="true" t="shared" si="277" ref="C392:Z392">C107*C132-C131*C108</f>
        <v>0.6192487864315288</v>
      </c>
      <c r="D392" s="1">
        <f t="shared" si="277"/>
        <v>0.3793509073956979</v>
      </c>
      <c r="E392" s="1">
        <f t="shared" si="277"/>
        <v>0.12233951108079699</v>
      </c>
      <c r="F392" s="1">
        <f t="shared" si="277"/>
        <v>0.009833378265687353</v>
      </c>
      <c r="G392" s="1">
        <f t="shared" si="277"/>
        <v>0.009894454879089586</v>
      </c>
      <c r="H392" s="1">
        <f t="shared" si="277"/>
        <v>0.06076318505732195</v>
      </c>
      <c r="I392" s="1">
        <f t="shared" si="277"/>
        <v>0.12120325619598861</v>
      </c>
      <c r="J392" s="1">
        <f t="shared" si="277"/>
        <v>0.16747596722695957</v>
      </c>
      <c r="K392" s="1">
        <f t="shared" si="277"/>
        <v>0.18842290695313693</v>
      </c>
      <c r="L392" s="1">
        <f t="shared" si="277"/>
        <v>0.18295411383453639</v>
      </c>
      <c r="M392" s="1">
        <f t="shared" si="277"/>
        <v>0.1572941932520366</v>
      </c>
      <c r="N392" s="1">
        <f t="shared" si="277"/>
        <v>0.12120662257061704</v>
      </c>
      <c r="O392" s="1">
        <f t="shared" si="277"/>
        <v>0.08406868891062377</v>
      </c>
      <c r="P392" s="1">
        <f t="shared" si="277"/>
        <v>0.05228474857405582</v>
      </c>
      <c r="Q392" s="1">
        <f t="shared" si="277"/>
        <v>0.028698055718191534</v>
      </c>
      <c r="R392" s="1">
        <f t="shared" si="277"/>
        <v>0.013388919751778944</v>
      </c>
      <c r="S392" s="1">
        <f t="shared" si="277"/>
        <v>0.0048522462020170985</v>
      </c>
      <c r="T392" s="1">
        <f t="shared" si="277"/>
        <v>0.000986076052784315</v>
      </c>
      <c r="U392" s="1">
        <f t="shared" si="277"/>
        <v>1.4185015342938644E-05</v>
      </c>
      <c r="V392" s="1">
        <f t="shared" si="277"/>
        <v>0.00264557010970096</v>
      </c>
      <c r="W392" s="1">
        <f t="shared" si="277"/>
        <v>0.01955273424302291</v>
      </c>
      <c r="X392" s="1">
        <f t="shared" si="277"/>
        <v>0.08979210680504096</v>
      </c>
      <c r="Y392" s="1">
        <f t="shared" si="277"/>
        <v>0.28263311913413736</v>
      </c>
      <c r="Z392" s="1">
        <f t="shared" si="277"/>
        <v>0.5569153421715713</v>
      </c>
    </row>
    <row r="393" spans="1:26" ht="15.75">
      <c r="A393" s="75" t="s">
        <v>198</v>
      </c>
      <c r="B393" s="1">
        <f aca="true" t="shared" si="278" ref="B393:Z393">B390*B107+B391*B108-B303</f>
        <v>0</v>
      </c>
      <c r="C393" s="1">
        <f t="shared" si="278"/>
        <v>0</v>
      </c>
      <c r="D393" s="1">
        <f t="shared" si="278"/>
        <v>0</v>
      </c>
      <c r="E393" s="1">
        <f t="shared" si="278"/>
        <v>-4.440892098500626E-16</v>
      </c>
      <c r="F393" s="1">
        <f t="shared" si="278"/>
        <v>0</v>
      </c>
      <c r="G393" s="1">
        <f t="shared" si="278"/>
        <v>0</v>
      </c>
      <c r="H393" s="1">
        <f t="shared" si="278"/>
        <v>0</v>
      </c>
      <c r="I393" s="1">
        <f t="shared" si="278"/>
        <v>0</v>
      </c>
      <c r="J393" s="1">
        <f t="shared" si="278"/>
        <v>0</v>
      </c>
      <c r="K393" s="1">
        <f t="shared" si="278"/>
        <v>0</v>
      </c>
      <c r="L393" s="1">
        <f t="shared" si="278"/>
        <v>0</v>
      </c>
      <c r="M393" s="1">
        <f t="shared" si="278"/>
        <v>0</v>
      </c>
      <c r="N393" s="1">
        <f t="shared" si="278"/>
        <v>0</v>
      </c>
      <c r="O393" s="1">
        <f t="shared" si="278"/>
        <v>0</v>
      </c>
      <c r="P393" s="1">
        <f t="shared" si="278"/>
        <v>0</v>
      </c>
      <c r="Q393" s="1">
        <f t="shared" si="278"/>
        <v>0</v>
      </c>
      <c r="R393" s="1">
        <f t="shared" si="278"/>
        <v>0</v>
      </c>
      <c r="S393" s="1">
        <f t="shared" si="278"/>
        <v>4.440892098500626E-15</v>
      </c>
      <c r="T393" s="1">
        <f t="shared" si="278"/>
        <v>7.105427357601002E-15</v>
      </c>
      <c r="U393" s="1">
        <f t="shared" si="278"/>
        <v>6.106226635438361E-16</v>
      </c>
      <c r="V393" s="1">
        <f t="shared" si="278"/>
        <v>-3.552713678800501E-15</v>
      </c>
      <c r="W393" s="1">
        <f t="shared" si="278"/>
        <v>0</v>
      </c>
      <c r="X393" s="1">
        <f t="shared" si="278"/>
        <v>0</v>
      </c>
      <c r="Y393" s="1">
        <f t="shared" si="278"/>
        <v>0</v>
      </c>
      <c r="Z393" s="1">
        <f t="shared" si="278"/>
        <v>0</v>
      </c>
    </row>
    <row r="394" spans="1:26" ht="15.75">
      <c r="A394" s="151" t="s">
        <v>431</v>
      </c>
      <c r="B394" s="27">
        <f aca="true" t="shared" si="279" ref="B394:Z394">B390*B107+B391*B108</f>
        <v>19.28567270585225</v>
      </c>
      <c r="C394" s="27">
        <f t="shared" si="279"/>
        <v>3.9721881163793338</v>
      </c>
      <c r="D394" s="27">
        <f t="shared" si="279"/>
        <v>-2.3274772934464796</v>
      </c>
      <c r="E394" s="27">
        <f t="shared" si="279"/>
        <v>-0.25051299365043045</v>
      </c>
      <c r="F394" s="27">
        <f t="shared" si="279"/>
        <v>0.6274260826969994</v>
      </c>
      <c r="G394" s="27">
        <f t="shared" si="279"/>
        <v>-1.0847033546995568</v>
      </c>
      <c r="H394" s="27">
        <f t="shared" si="279"/>
        <v>-2.894206333066</v>
      </c>
      <c r="I394" s="27">
        <f t="shared" si="279"/>
        <v>-3.902501051402072</v>
      </c>
      <c r="J394" s="27">
        <f t="shared" si="279"/>
        <v>-4.943779972247638</v>
      </c>
      <c r="K394" s="27">
        <f t="shared" si="279"/>
        <v>-6.609722282600188</v>
      </c>
      <c r="L394" s="27">
        <f t="shared" si="279"/>
        <v>-8.345361338297007</v>
      </c>
      <c r="M394" s="27">
        <f t="shared" si="279"/>
        <v>-9.266925190840524</v>
      </c>
      <c r="N394" s="27">
        <f t="shared" si="279"/>
        <v>-9.247836649967244</v>
      </c>
      <c r="O394" s="27">
        <f t="shared" si="279"/>
        <v>-8.863452828574601</v>
      </c>
      <c r="P394" s="27">
        <f t="shared" si="279"/>
        <v>-8.463980692788706</v>
      </c>
      <c r="Q394" s="27">
        <f t="shared" si="279"/>
        <v>-7.714802679097609</v>
      </c>
      <c r="R394" s="27">
        <f t="shared" si="279"/>
        <v>-6.165050109894011</v>
      </c>
      <c r="S394" s="27">
        <f t="shared" si="279"/>
        <v>-3.995374159729451</v>
      </c>
      <c r="T394" s="27">
        <f t="shared" si="279"/>
        <v>-1.8503493453212556</v>
      </c>
      <c r="U394" s="27">
        <f t="shared" si="279"/>
        <v>0.23857589688465453</v>
      </c>
      <c r="V394" s="27">
        <f t="shared" si="279"/>
        <v>3.6687550035040886</v>
      </c>
      <c r="W394" s="27">
        <f t="shared" si="279"/>
        <v>10.475774829516986</v>
      </c>
      <c r="X394" s="27">
        <f t="shared" si="279"/>
        <v>20.324119564267832</v>
      </c>
      <c r="Y394" s="27">
        <f t="shared" si="279"/>
        <v>26.5645814301117</v>
      </c>
      <c r="Z394" s="27">
        <f t="shared" si="279"/>
        <v>19.4014194500353</v>
      </c>
    </row>
    <row r="395" ht="15.75">
      <c r="A395" s="75"/>
    </row>
    <row r="396" spans="1:27" s="101" customFormat="1" ht="15.75">
      <c r="A396" s="152" t="s">
        <v>351</v>
      </c>
      <c r="B396" s="100">
        <f>-B387</f>
        <v>75.39928411475154</v>
      </c>
      <c r="C396" s="100">
        <f aca="true" t="shared" si="280" ref="C396:Z396">-C387</f>
        <v>28.968746734365887</v>
      </c>
      <c r="D396" s="100">
        <f t="shared" si="280"/>
        <v>12.109095753608907</v>
      </c>
      <c r="E396" s="100">
        <f t="shared" si="280"/>
        <v>11.21067498935327</v>
      </c>
      <c r="F396" s="100">
        <f t="shared" si="280"/>
        <v>15.231232462988219</v>
      </c>
      <c r="G396" s="100">
        <f t="shared" si="280"/>
        <v>20.43405857066048</v>
      </c>
      <c r="H396" s="100">
        <f t="shared" si="280"/>
        <v>25.936355465449832</v>
      </c>
      <c r="I396" s="100">
        <f t="shared" si="280"/>
        <v>31.13844454047773</v>
      </c>
      <c r="J396" s="100">
        <f t="shared" si="280"/>
        <v>36.1222751571966</v>
      </c>
      <c r="K396" s="100">
        <f t="shared" si="280"/>
        <v>42.42330844607513</v>
      </c>
      <c r="L396" s="100">
        <f t="shared" si="280"/>
        <v>52.44402068315292</v>
      </c>
      <c r="M396" s="100">
        <f t="shared" si="280"/>
        <v>67.92837658787639</v>
      </c>
      <c r="N396" s="100">
        <f t="shared" si="280"/>
        <v>89.45174793302097</v>
      </c>
      <c r="O396" s="100">
        <f t="shared" si="280"/>
        <v>117.97588099495628</v>
      </c>
      <c r="P396" s="100">
        <f t="shared" si="280"/>
        <v>157.053486176195</v>
      </c>
      <c r="Q396" s="100">
        <f t="shared" si="280"/>
        <v>213.2300282862538</v>
      </c>
      <c r="R396" s="100">
        <f t="shared" si="280"/>
        <v>294.1197588147883</v>
      </c>
      <c r="S396" s="100">
        <f t="shared" si="280"/>
        <v>405.2121931462225</v>
      </c>
      <c r="T396" s="100">
        <f t="shared" si="280"/>
        <v>537.3316466231365</v>
      </c>
      <c r="U396" s="100">
        <f t="shared" si="280"/>
        <v>624.3332206117751</v>
      </c>
      <c r="V396" s="100">
        <f t="shared" si="280"/>
        <v>571.3383647881603</v>
      </c>
      <c r="W396" s="100">
        <f t="shared" si="280"/>
        <v>423.2185017825116</v>
      </c>
      <c r="X396" s="100">
        <f t="shared" si="280"/>
        <v>275.3512407563898</v>
      </c>
      <c r="Y396" s="100">
        <f t="shared" si="280"/>
        <v>158.58642403376416</v>
      </c>
      <c r="Z396" s="100">
        <f t="shared" si="280"/>
        <v>75.98701618762973</v>
      </c>
      <c r="AA396" s="157"/>
    </row>
    <row r="397" spans="1:27" s="101" customFormat="1" ht="15.75">
      <c r="A397" s="152" t="s">
        <v>352</v>
      </c>
      <c r="B397" s="100">
        <f>-B388</f>
        <v>-41.017074648590764</v>
      </c>
      <c r="C397" s="100">
        <f aca="true" t="shared" si="281" ref="C397:Z397">-C388</f>
        <v>-17.348715376587887</v>
      </c>
      <c r="D397" s="100">
        <f t="shared" si="281"/>
        <v>-8.175165832172363</v>
      </c>
      <c r="E397" s="100">
        <f t="shared" si="281"/>
        <v>-8.41330508837219</v>
      </c>
      <c r="F397" s="100">
        <f t="shared" si="281"/>
        <v>-12.10166264920541</v>
      </c>
      <c r="G397" s="100">
        <f t="shared" si="281"/>
        <v>-16.21450819103553</v>
      </c>
      <c r="H397" s="100">
        <f t="shared" si="281"/>
        <v>-19.64939368311234</v>
      </c>
      <c r="I397" s="100">
        <f t="shared" si="281"/>
        <v>-21.993295711524052</v>
      </c>
      <c r="J397" s="100">
        <f t="shared" si="281"/>
        <v>-23.64576772441901</v>
      </c>
      <c r="K397" s="100">
        <f t="shared" si="281"/>
        <v>-25.873107095711546</v>
      </c>
      <c r="L397" s="100">
        <f t="shared" si="281"/>
        <v>-30.117210663667446</v>
      </c>
      <c r="M397" s="100">
        <f t="shared" si="281"/>
        <v>-37.18157442929512</v>
      </c>
      <c r="N397" s="100">
        <f t="shared" si="281"/>
        <v>-47.213353290205646</v>
      </c>
      <c r="O397" s="100">
        <f t="shared" si="281"/>
        <v>-60.65170755160642</v>
      </c>
      <c r="P397" s="100">
        <f t="shared" si="281"/>
        <v>-79.2930752439439</v>
      </c>
      <c r="Q397" s="100">
        <f t="shared" si="281"/>
        <v>-106.39784987004221</v>
      </c>
      <c r="R397" s="100">
        <f t="shared" si="281"/>
        <v>-145.72492018942145</v>
      </c>
      <c r="S397" s="100">
        <f t="shared" si="281"/>
        <v>-199.99532252274142</v>
      </c>
      <c r="T397" s="100">
        <f t="shared" si="281"/>
        <v>-264.7343855199185</v>
      </c>
      <c r="U397" s="100">
        <f t="shared" si="281"/>
        <v>-307.4618032624732</v>
      </c>
      <c r="V397" s="100">
        <f t="shared" si="281"/>
        <v>-281.59749507475453</v>
      </c>
      <c r="W397" s="100">
        <f t="shared" si="281"/>
        <v>-209.3255883328706</v>
      </c>
      <c r="X397" s="100">
        <f t="shared" si="281"/>
        <v>-137.6368245643556</v>
      </c>
      <c r="Y397" s="100">
        <f t="shared" si="281"/>
        <v>-81.44755215608637</v>
      </c>
      <c r="Z397" s="100">
        <f t="shared" si="281"/>
        <v>-41.33679983682899</v>
      </c>
      <c r="AA397" s="157"/>
    </row>
    <row r="398" spans="1:27" s="101" customFormat="1" ht="15.75">
      <c r="A398" s="152" t="s">
        <v>199</v>
      </c>
      <c r="B398" s="100">
        <f aca="true" t="shared" si="282" ref="B398:Z398">B396*B131+B397*B132</f>
        <v>0</v>
      </c>
      <c r="C398" s="100">
        <f t="shared" si="282"/>
        <v>0</v>
      </c>
      <c r="D398" s="100">
        <f t="shared" si="282"/>
        <v>0</v>
      </c>
      <c r="E398" s="100">
        <f t="shared" si="282"/>
        <v>0</v>
      </c>
      <c r="F398" s="100">
        <f t="shared" si="282"/>
        <v>0</v>
      </c>
      <c r="G398" s="100">
        <f t="shared" si="282"/>
        <v>0</v>
      </c>
      <c r="H398" s="100">
        <f t="shared" si="282"/>
        <v>0</v>
      </c>
      <c r="I398" s="100">
        <f t="shared" si="282"/>
        <v>0</v>
      </c>
      <c r="J398" s="100">
        <f t="shared" si="282"/>
        <v>0</v>
      </c>
      <c r="K398" s="100">
        <f t="shared" si="282"/>
        <v>0</v>
      </c>
      <c r="L398" s="100">
        <f t="shared" si="282"/>
        <v>0</v>
      </c>
      <c r="M398" s="100">
        <f t="shared" si="282"/>
        <v>0</v>
      </c>
      <c r="N398" s="100">
        <f t="shared" si="282"/>
        <v>0</v>
      </c>
      <c r="O398" s="100">
        <f t="shared" si="282"/>
        <v>0</v>
      </c>
      <c r="P398" s="100">
        <f t="shared" si="282"/>
        <v>0</v>
      </c>
      <c r="Q398" s="100">
        <f t="shared" si="282"/>
        <v>0</v>
      </c>
      <c r="R398" s="100">
        <f t="shared" si="282"/>
        <v>0</v>
      </c>
      <c r="S398" s="100">
        <f t="shared" si="282"/>
        <v>0</v>
      </c>
      <c r="T398" s="100">
        <f t="shared" si="282"/>
        <v>0</v>
      </c>
      <c r="U398" s="100">
        <f t="shared" si="282"/>
        <v>0</v>
      </c>
      <c r="V398" s="100">
        <f t="shared" si="282"/>
        <v>0</v>
      </c>
      <c r="W398" s="100">
        <f t="shared" si="282"/>
        <v>0</v>
      </c>
      <c r="X398" s="100">
        <f t="shared" si="282"/>
        <v>0</v>
      </c>
      <c r="Y398" s="100">
        <f t="shared" si="282"/>
        <v>0</v>
      </c>
      <c r="Z398" s="100">
        <f t="shared" si="282"/>
        <v>0</v>
      </c>
      <c r="AA398" s="157"/>
    </row>
    <row r="399" spans="1:27" s="101" customFormat="1" ht="15.75">
      <c r="A399" s="152" t="s">
        <v>425</v>
      </c>
      <c r="B399" s="100">
        <f aca="true" t="shared" si="283" ref="B399:Z399">B292+B396</f>
        <v>78.6341400163205</v>
      </c>
      <c r="C399" s="100">
        <f t="shared" si="283"/>
        <v>34.69071535359997</v>
      </c>
      <c r="D399" s="100">
        <f t="shared" si="283"/>
        <v>17.62179495161061</v>
      </c>
      <c r="E399" s="100">
        <f t="shared" si="283"/>
        <v>14.026992048457476</v>
      </c>
      <c r="F399" s="100">
        <f t="shared" si="283"/>
        <v>15.5604368044273</v>
      </c>
      <c r="G399" s="100">
        <f t="shared" si="283"/>
        <v>20.972532333331934</v>
      </c>
      <c r="H399" s="100">
        <f t="shared" si="283"/>
        <v>29.17121136701879</v>
      </c>
      <c r="I399" s="100">
        <f t="shared" si="283"/>
        <v>36.86041315971181</v>
      </c>
      <c r="J399" s="100">
        <f t="shared" si="283"/>
        <v>41.6349743551983</v>
      </c>
      <c r="K399" s="100">
        <f t="shared" si="283"/>
        <v>45.23962550517933</v>
      </c>
      <c r="L399" s="100">
        <f t="shared" si="283"/>
        <v>52.773225024592</v>
      </c>
      <c r="M399" s="100">
        <f t="shared" si="283"/>
        <v>68.46685035054784</v>
      </c>
      <c r="N399" s="100">
        <f t="shared" si="283"/>
        <v>92.68660383458993</v>
      </c>
      <c r="O399" s="100">
        <f t="shared" si="283"/>
        <v>123.69784961419036</v>
      </c>
      <c r="P399" s="100">
        <f t="shared" si="283"/>
        <v>162.56618537419672</v>
      </c>
      <c r="Q399" s="100">
        <f t="shared" si="283"/>
        <v>216.046345345358</v>
      </c>
      <c r="R399" s="100">
        <f t="shared" si="283"/>
        <v>294.4489631562274</v>
      </c>
      <c r="S399" s="100">
        <f t="shared" si="283"/>
        <v>405.75066690889395</v>
      </c>
      <c r="T399" s="100">
        <f t="shared" si="283"/>
        <v>540.5665025247055</v>
      </c>
      <c r="U399" s="100">
        <f t="shared" si="283"/>
        <v>630.0551892310092</v>
      </c>
      <c r="V399" s="100">
        <f t="shared" si="283"/>
        <v>576.851063986162</v>
      </c>
      <c r="W399" s="100">
        <f t="shared" si="283"/>
        <v>426.03481884161585</v>
      </c>
      <c r="X399" s="100">
        <f t="shared" si="283"/>
        <v>275.6804450978289</v>
      </c>
      <c r="Y399" s="100">
        <f t="shared" si="283"/>
        <v>159.12489779643562</v>
      </c>
      <c r="Z399" s="100">
        <f t="shared" si="283"/>
        <v>79.22187208919868</v>
      </c>
      <c r="AA399" s="157"/>
    </row>
    <row r="400" spans="1:27" s="101" customFormat="1" ht="15.75">
      <c r="A400" s="152" t="s">
        <v>426</v>
      </c>
      <c r="B400" s="100">
        <f aca="true" t="shared" si="284" ref="B400:Z400">B293+B397</f>
        <v>-36.97220300258115</v>
      </c>
      <c r="C400" s="100">
        <f t="shared" si="284"/>
        <v>-11.922225992109373</v>
      </c>
      <c r="D400" s="100">
        <f t="shared" si="284"/>
        <v>-2.2377070291394903</v>
      </c>
      <c r="E400" s="100">
        <f t="shared" si="284"/>
        <v>-3.134844142130749</v>
      </c>
      <c r="F400" s="100">
        <f t="shared" si="284"/>
        <v>-8.266134828167573</v>
      </c>
      <c r="G400" s="100">
        <f t="shared" si="284"/>
        <v>-13.760598108466596</v>
      </c>
      <c r="H400" s="100">
        <f t="shared" si="284"/>
        <v>-17.70645301909776</v>
      </c>
      <c r="I400" s="100">
        <f t="shared" si="284"/>
        <v>-19.391357190718043</v>
      </c>
      <c r="J400" s="100">
        <f t="shared" si="284"/>
        <v>-19.6008960784094</v>
      </c>
      <c r="K400" s="100">
        <f t="shared" si="284"/>
        <v>-20.44661771123303</v>
      </c>
      <c r="L400" s="100">
        <f t="shared" si="284"/>
        <v>-24.179751860634575</v>
      </c>
      <c r="M400" s="100">
        <f t="shared" si="284"/>
        <v>-31.903113483053673</v>
      </c>
      <c r="N400" s="100">
        <f t="shared" si="284"/>
        <v>-43.37782546916781</v>
      </c>
      <c r="O400" s="100">
        <f t="shared" si="284"/>
        <v>-58.19779746903748</v>
      </c>
      <c r="P400" s="100">
        <f t="shared" si="284"/>
        <v>-77.35013457992933</v>
      </c>
      <c r="Q400" s="100">
        <f t="shared" si="284"/>
        <v>-103.79591134923619</v>
      </c>
      <c r="R400" s="100">
        <f t="shared" si="284"/>
        <v>-141.68004854341183</v>
      </c>
      <c r="S400" s="100">
        <f t="shared" si="284"/>
        <v>-194.5688331382629</v>
      </c>
      <c r="T400" s="100">
        <f t="shared" si="284"/>
        <v>-258.7969267168856</v>
      </c>
      <c r="U400" s="100">
        <f t="shared" si="284"/>
        <v>-302.18334231623174</v>
      </c>
      <c r="V400" s="100">
        <f t="shared" si="284"/>
        <v>-277.7619672537167</v>
      </c>
      <c r="W400" s="100">
        <f t="shared" si="284"/>
        <v>-206.87167825030167</v>
      </c>
      <c r="X400" s="100">
        <f t="shared" si="284"/>
        <v>-135.69388390034104</v>
      </c>
      <c r="Y400" s="100">
        <f t="shared" si="284"/>
        <v>-78.84561363528037</v>
      </c>
      <c r="Z400" s="100">
        <f t="shared" si="284"/>
        <v>-37.29192819081938</v>
      </c>
      <c r="AA400" s="157"/>
    </row>
    <row r="401" spans="1:26" ht="15.75">
      <c r="A401" s="75" t="s">
        <v>200</v>
      </c>
      <c r="B401" s="1">
        <f aca="true" t="shared" si="285" ref="B401:Z401">B399*B131+B400*B132-(B262+B277)</f>
        <v>0</v>
      </c>
      <c r="C401" s="1">
        <f t="shared" si="285"/>
        <v>0</v>
      </c>
      <c r="D401" s="1">
        <f t="shared" si="285"/>
        <v>0</v>
      </c>
      <c r="E401" s="1">
        <f t="shared" si="285"/>
        <v>0</v>
      </c>
      <c r="F401" s="1">
        <f t="shared" si="285"/>
        <v>0</v>
      </c>
      <c r="G401" s="1">
        <f t="shared" si="285"/>
        <v>-4.996003610813204E-16</v>
      </c>
      <c r="H401" s="1">
        <f t="shared" si="285"/>
        <v>0</v>
      </c>
      <c r="I401" s="1">
        <f t="shared" si="285"/>
        <v>0</v>
      </c>
      <c r="J401" s="1">
        <f t="shared" si="285"/>
        <v>0</v>
      </c>
      <c r="K401" s="1">
        <f t="shared" si="285"/>
        <v>0</v>
      </c>
      <c r="L401" s="1">
        <f t="shared" si="285"/>
        <v>0</v>
      </c>
      <c r="M401" s="1">
        <f t="shared" si="285"/>
        <v>0</v>
      </c>
      <c r="N401" s="1">
        <f t="shared" si="285"/>
        <v>0</v>
      </c>
      <c r="O401" s="1">
        <f t="shared" si="285"/>
        <v>0</v>
      </c>
      <c r="P401" s="1">
        <f t="shared" si="285"/>
        <v>0</v>
      </c>
      <c r="Q401" s="1">
        <f t="shared" si="285"/>
        <v>3.552713678800501E-15</v>
      </c>
      <c r="R401" s="1">
        <f t="shared" si="285"/>
        <v>2.6423307986078726E-14</v>
      </c>
      <c r="S401" s="1">
        <f t="shared" si="285"/>
        <v>-9.992007221626409E-15</v>
      </c>
      <c r="T401" s="1">
        <f t="shared" si="285"/>
        <v>-5.773159728050814E-15</v>
      </c>
      <c r="U401" s="1">
        <f t="shared" si="285"/>
        <v>-1.2212453270876722E-15</v>
      </c>
      <c r="V401" s="1">
        <f t="shared" si="285"/>
        <v>4.218847493575595E-15</v>
      </c>
      <c r="W401" s="1">
        <f t="shared" si="285"/>
        <v>8.881784197001252E-15</v>
      </c>
      <c r="X401" s="1">
        <f t="shared" si="285"/>
        <v>2.042810365310288E-14</v>
      </c>
      <c r="Y401" s="1">
        <f t="shared" si="285"/>
        <v>7.549516567451064E-15</v>
      </c>
      <c r="Z401" s="1">
        <f t="shared" si="285"/>
        <v>0</v>
      </c>
    </row>
    <row r="403" ht="15.75">
      <c r="A403" s="26" t="s">
        <v>218</v>
      </c>
    </row>
    <row r="404" spans="1:26" ht="15.75">
      <c r="A404" s="75" t="s">
        <v>432</v>
      </c>
      <c r="B404" s="1">
        <f aca="true" t="shared" si="286" ref="B404:Z404">-B410*SIN(B70)</f>
        <v>10.019214808807591</v>
      </c>
      <c r="C404" s="1">
        <f t="shared" si="286"/>
        <v>5.481148010468657</v>
      </c>
      <c r="D404" s="1">
        <f t="shared" si="286"/>
        <v>2.7805828588185784</v>
      </c>
      <c r="E404" s="1">
        <f t="shared" si="286"/>
        <v>2.908592132067224</v>
      </c>
      <c r="F404" s="1">
        <f t="shared" si="286"/>
        <v>4.257308388871591</v>
      </c>
      <c r="G404" s="1">
        <f t="shared" si="286"/>
        <v>5.791676807596674</v>
      </c>
      <c r="H404" s="1">
        <f t="shared" si="286"/>
        <v>7.112496787693139</v>
      </c>
      <c r="I404" s="1">
        <f t="shared" si="286"/>
        <v>7.953950300290483</v>
      </c>
      <c r="J404" s="1">
        <f t="shared" si="286"/>
        <v>8.305432921965153</v>
      </c>
      <c r="K404" s="1">
        <f t="shared" si="286"/>
        <v>8.491894758017361</v>
      </c>
      <c r="L404" s="1">
        <f t="shared" si="286"/>
        <v>8.837241795247913</v>
      </c>
      <c r="M404" s="1">
        <f t="shared" si="286"/>
        <v>9.31474025513812</v>
      </c>
      <c r="N404" s="1">
        <f t="shared" si="286"/>
        <v>9.648952115661555</v>
      </c>
      <c r="O404" s="1">
        <f t="shared" si="286"/>
        <v>9.676918616842896</v>
      </c>
      <c r="P404" s="1">
        <f t="shared" si="286"/>
        <v>9.468167220540757</v>
      </c>
      <c r="Q404" s="1">
        <f t="shared" si="286"/>
        <v>9.135852358439719</v>
      </c>
      <c r="R404" s="1">
        <f t="shared" si="286"/>
        <v>8.698317075939272</v>
      </c>
      <c r="S404" s="1">
        <f t="shared" si="286"/>
        <v>8.1957093489851</v>
      </c>
      <c r="T404" s="1">
        <f t="shared" si="286"/>
        <v>7.864336231903201</v>
      </c>
      <c r="U404" s="1">
        <f t="shared" si="286"/>
        <v>8.091008780247261</v>
      </c>
      <c r="V404" s="1">
        <f t="shared" si="286"/>
        <v>9.144431785043372</v>
      </c>
      <c r="W404" s="1">
        <f t="shared" si="286"/>
        <v>10.89955702519139</v>
      </c>
      <c r="X404" s="1">
        <f t="shared" si="286"/>
        <v>12.644064571639744</v>
      </c>
      <c r="Y404" s="1">
        <f t="shared" si="286"/>
        <v>12.895165128310703</v>
      </c>
      <c r="Z404" s="1">
        <f t="shared" si="286"/>
        <v>10.09863348984434</v>
      </c>
    </row>
    <row r="405" spans="1:26" ht="15.75">
      <c r="A405" s="75" t="s">
        <v>220</v>
      </c>
      <c r="B405" s="1">
        <f aca="true" t="shared" si="287" ref="B405:Z405">B410*COS(B70)</f>
        <v>9.320511029133561</v>
      </c>
      <c r="C405" s="1">
        <f t="shared" si="287"/>
        <v>3.8863165138444855</v>
      </c>
      <c r="D405" s="1">
        <f t="shared" si="287"/>
        <v>1.5252546612449283</v>
      </c>
      <c r="E405" s="1">
        <f t="shared" si="287"/>
        <v>1.3127296219902702</v>
      </c>
      <c r="F405" s="1">
        <f t="shared" si="287"/>
        <v>1.7405249850083009</v>
      </c>
      <c r="G405" s="1">
        <f t="shared" si="287"/>
        <v>2.373053191382344</v>
      </c>
      <c r="H405" s="1">
        <f t="shared" si="287"/>
        <v>3.1571753426605027</v>
      </c>
      <c r="I405" s="1">
        <f t="shared" si="287"/>
        <v>4.0050497275012</v>
      </c>
      <c r="J405" s="1">
        <f t="shared" si="287"/>
        <v>4.843766074056972</v>
      </c>
      <c r="K405" s="1">
        <f t="shared" si="287"/>
        <v>5.768254606599509</v>
      </c>
      <c r="L405" s="1">
        <f t="shared" si="287"/>
        <v>6.974467791235168</v>
      </c>
      <c r="M405" s="1">
        <f t="shared" si="287"/>
        <v>8.486391662432398</v>
      </c>
      <c r="N405" s="1">
        <f t="shared" si="287"/>
        <v>10.06208301359097</v>
      </c>
      <c r="O405" s="1">
        <f t="shared" si="287"/>
        <v>11.436519440975655</v>
      </c>
      <c r="P405" s="1">
        <f t="shared" si="287"/>
        <v>12.539493436347797</v>
      </c>
      <c r="Q405" s="1">
        <f t="shared" si="287"/>
        <v>13.38416629445681</v>
      </c>
      <c r="R405" s="1">
        <f t="shared" si="287"/>
        <v>13.882007608296272</v>
      </c>
      <c r="S405" s="1">
        <f t="shared" si="287"/>
        <v>13.985309581557738</v>
      </c>
      <c r="T405" s="1">
        <f t="shared" si="287"/>
        <v>14.017329415071575</v>
      </c>
      <c r="U405" s="1">
        <f t="shared" si="287"/>
        <v>14.62080587257042</v>
      </c>
      <c r="V405" s="1">
        <f t="shared" si="287"/>
        <v>16.12471354832569</v>
      </c>
      <c r="W405" s="1">
        <f t="shared" si="287"/>
        <v>17.873477952243768</v>
      </c>
      <c r="X405" s="1">
        <f t="shared" si="287"/>
        <v>18.20371479599616</v>
      </c>
      <c r="Y405" s="1">
        <f t="shared" si="287"/>
        <v>15.324786267520755</v>
      </c>
      <c r="Z405" s="1">
        <f t="shared" si="287"/>
        <v>9.394391338783338</v>
      </c>
    </row>
    <row r="406" spans="1:26" ht="15.75">
      <c r="A406" s="75" t="s">
        <v>198</v>
      </c>
      <c r="B406" s="1">
        <f aca="true" t="shared" si="288" ref="B406:Z406">B404*B89+B405*B90-B333*B76</f>
        <v>0</v>
      </c>
      <c r="C406" s="1">
        <f t="shared" si="288"/>
        <v>0</v>
      </c>
      <c r="D406" s="1">
        <f t="shared" si="288"/>
        <v>0</v>
      </c>
      <c r="E406" s="1">
        <f t="shared" si="288"/>
        <v>0</v>
      </c>
      <c r="F406" s="1">
        <f t="shared" si="288"/>
        <v>0</v>
      </c>
      <c r="G406" s="1">
        <f t="shared" si="288"/>
        <v>0</v>
      </c>
      <c r="H406" s="1">
        <f t="shared" si="288"/>
        <v>0</v>
      </c>
      <c r="I406" s="1">
        <f t="shared" si="288"/>
        <v>0</v>
      </c>
      <c r="J406" s="1">
        <f t="shared" si="288"/>
        <v>0</v>
      </c>
      <c r="K406" s="1">
        <f t="shared" si="288"/>
        <v>0</v>
      </c>
      <c r="L406" s="1">
        <f t="shared" si="288"/>
        <v>0</v>
      </c>
      <c r="M406" s="1">
        <f t="shared" si="288"/>
        <v>0</v>
      </c>
      <c r="N406" s="1">
        <f t="shared" si="288"/>
        <v>0</v>
      </c>
      <c r="O406" s="1">
        <f t="shared" si="288"/>
        <v>0</v>
      </c>
      <c r="P406" s="1">
        <f t="shared" si="288"/>
        <v>0</v>
      </c>
      <c r="Q406" s="1">
        <f t="shared" si="288"/>
        <v>0</v>
      </c>
      <c r="R406" s="1">
        <f t="shared" si="288"/>
        <v>0</v>
      </c>
      <c r="S406" s="1">
        <f t="shared" si="288"/>
        <v>0</v>
      </c>
      <c r="T406" s="1">
        <f t="shared" si="288"/>
        <v>0</v>
      </c>
      <c r="U406" s="1">
        <f t="shared" si="288"/>
        <v>3.4416913763379853E-15</v>
      </c>
      <c r="V406" s="1">
        <f t="shared" si="288"/>
        <v>0</v>
      </c>
      <c r="W406" s="1">
        <f t="shared" si="288"/>
        <v>0</v>
      </c>
      <c r="X406" s="1">
        <f t="shared" si="288"/>
        <v>0</v>
      </c>
      <c r="Y406" s="1">
        <f t="shared" si="288"/>
        <v>0</v>
      </c>
      <c r="Z406" s="1">
        <f t="shared" si="288"/>
        <v>0</v>
      </c>
    </row>
    <row r="407" spans="1:26" ht="15.75">
      <c r="A407" s="75" t="s">
        <v>221</v>
      </c>
      <c r="B407" s="1">
        <f aca="true" t="shared" si="289" ref="B407:Z407">B404+B331</f>
        <v>9.221684777874149</v>
      </c>
      <c r="C407" s="1">
        <f t="shared" si="289"/>
        <v>2.930157651263185</v>
      </c>
      <c r="D407" s="1">
        <f t="shared" si="289"/>
        <v>-0.3837752563477941</v>
      </c>
      <c r="E407" s="1">
        <f t="shared" si="289"/>
        <v>0.7737929355178057</v>
      </c>
      <c r="F407" s="1">
        <f t="shared" si="289"/>
        <v>3.40343333366576</v>
      </c>
      <c r="G407" s="1">
        <f t="shared" si="289"/>
        <v>5.00104823535365</v>
      </c>
      <c r="H407" s="1">
        <f t="shared" si="289"/>
        <v>5.164538993845223</v>
      </c>
      <c r="I407" s="1">
        <f t="shared" si="289"/>
        <v>4.942337533985424</v>
      </c>
      <c r="J407" s="1">
        <f t="shared" si="289"/>
        <v>5.552426731137677</v>
      </c>
      <c r="K407" s="1">
        <f t="shared" si="289"/>
        <v>7.2045196544486485</v>
      </c>
      <c r="L407" s="1">
        <f t="shared" si="289"/>
        <v>8.867836513555533</v>
      </c>
      <c r="M407" s="1">
        <f t="shared" si="289"/>
        <v>9.271601200188448</v>
      </c>
      <c r="N407" s="1">
        <f t="shared" si="289"/>
        <v>8.25112561965459</v>
      </c>
      <c r="O407" s="1">
        <f t="shared" si="289"/>
        <v>7.002255335229222</v>
      </c>
      <c r="P407" s="1">
        <f t="shared" si="289"/>
        <v>6.849438755477181</v>
      </c>
      <c r="Q407" s="1">
        <f t="shared" si="289"/>
        <v>7.810354615705779</v>
      </c>
      <c r="R407" s="1">
        <f t="shared" si="289"/>
        <v>8.561076967370173</v>
      </c>
      <c r="S407" s="1">
        <f t="shared" si="289"/>
        <v>7.901453242732532</v>
      </c>
      <c r="T407" s="1">
        <f t="shared" si="289"/>
        <v>6.1751360750111495</v>
      </c>
      <c r="U407" s="1">
        <f t="shared" si="289"/>
        <v>5.1241885115167936</v>
      </c>
      <c r="V407" s="1">
        <f t="shared" si="289"/>
        <v>6.282590701225572</v>
      </c>
      <c r="W407" s="1">
        <f t="shared" si="289"/>
        <v>9.473885145489282</v>
      </c>
      <c r="X407" s="1">
        <f t="shared" si="289"/>
        <v>12.72120642727524</v>
      </c>
      <c r="Y407" s="1">
        <f t="shared" si="289"/>
        <v>13.280462321559046</v>
      </c>
      <c r="Z407" s="1">
        <f t="shared" si="289"/>
        <v>9.300160286769648</v>
      </c>
    </row>
    <row r="408" spans="1:26" ht="15.75">
      <c r="A408" s="75" t="s">
        <v>222</v>
      </c>
      <c r="B408" s="1">
        <f aca="true" t="shared" si="290" ref="B408:Z408">B405+B332</f>
        <v>2.143296382510691</v>
      </c>
      <c r="C408" s="1">
        <f t="shared" si="290"/>
        <v>-3.4601854249340884</v>
      </c>
      <c r="D408" s="1">
        <f t="shared" si="290"/>
        <v>-6.270832746526811</v>
      </c>
      <c r="E408" s="1">
        <f t="shared" si="290"/>
        <v>-6.840444953745543</v>
      </c>
      <c r="F408" s="1">
        <f t="shared" si="290"/>
        <v>-6.2331139090151915</v>
      </c>
      <c r="G408" s="1">
        <f t="shared" si="290"/>
        <v>-5.060437301964431</v>
      </c>
      <c r="H408" s="1">
        <f t="shared" si="290"/>
        <v>-3.8829178578024846</v>
      </c>
      <c r="I408" s="1">
        <f t="shared" si="290"/>
        <v>-3.1167300870291754</v>
      </c>
      <c r="J408" s="1">
        <f t="shared" si="290"/>
        <v>-2.756949956918958</v>
      </c>
      <c r="K408" s="1">
        <f t="shared" si="290"/>
        <v>-2.3303185015124246</v>
      </c>
      <c r="L408" s="1">
        <f t="shared" si="290"/>
        <v>-1.2401336698344307</v>
      </c>
      <c r="M408" s="1">
        <f t="shared" si="290"/>
        <v>0.6998948836156966</v>
      </c>
      <c r="N408" s="1">
        <f t="shared" si="290"/>
        <v>3.0702828898606604</v>
      </c>
      <c r="O408" s="1">
        <f t="shared" si="290"/>
        <v>5.194483419387623</v>
      </c>
      <c r="P408" s="1">
        <f t="shared" si="290"/>
        <v>6.602161079818433</v>
      </c>
      <c r="Q408" s="1">
        <f t="shared" si="290"/>
        <v>7.155620134995562</v>
      </c>
      <c r="R408" s="1">
        <f t="shared" si="290"/>
        <v>6.9535449389718895</v>
      </c>
      <c r="S408" s="1">
        <f t="shared" si="290"/>
        <v>6.360598075177843</v>
      </c>
      <c r="T408" s="1">
        <f t="shared" si="290"/>
        <v>6.089551509029224</v>
      </c>
      <c r="U408" s="1">
        <f t="shared" si="290"/>
        <v>6.912909048653951</v>
      </c>
      <c r="V408" s="1">
        <f t="shared" si="290"/>
        <v>8.946658033699844</v>
      </c>
      <c r="W408" s="1">
        <f t="shared" si="290"/>
        <v>11.116065089999868</v>
      </c>
      <c r="X408" s="1">
        <f t="shared" si="290"/>
        <v>11.452103723450003</v>
      </c>
      <c r="Y408" s="1">
        <f t="shared" si="290"/>
        <v>8.294402525114775</v>
      </c>
      <c r="Z408" s="1">
        <f t="shared" si="290"/>
        <v>2.1993985497194926</v>
      </c>
    </row>
    <row r="409" spans="1:27" s="8" customFormat="1" ht="15.75">
      <c r="A409" s="150" t="s">
        <v>169</v>
      </c>
      <c r="B409" s="30">
        <f aca="true" t="shared" si="291" ref="B409:Z409">B407*B89+B408*B90-B335</f>
        <v>0</v>
      </c>
      <c r="C409" s="30">
        <f t="shared" si="291"/>
        <v>-2.6645352591003757E-15</v>
      </c>
      <c r="D409" s="30">
        <f t="shared" si="291"/>
        <v>0</v>
      </c>
      <c r="E409" s="30">
        <f t="shared" si="291"/>
        <v>0</v>
      </c>
      <c r="F409" s="30">
        <f t="shared" si="291"/>
        <v>1.1102230246251565E-15</v>
      </c>
      <c r="G409" s="30">
        <f t="shared" si="291"/>
        <v>0</v>
      </c>
      <c r="H409" s="30">
        <f t="shared" si="291"/>
        <v>0</v>
      </c>
      <c r="I409" s="30">
        <f t="shared" si="291"/>
        <v>0</v>
      </c>
      <c r="J409" s="30">
        <f t="shared" si="291"/>
        <v>0</v>
      </c>
      <c r="K409" s="30">
        <f t="shared" si="291"/>
        <v>0</v>
      </c>
      <c r="L409" s="30">
        <f t="shared" si="291"/>
        <v>0</v>
      </c>
      <c r="M409" s="30">
        <f t="shared" si="291"/>
        <v>0</v>
      </c>
      <c r="N409" s="30">
        <f t="shared" si="291"/>
        <v>0</v>
      </c>
      <c r="O409" s="30">
        <f t="shared" si="291"/>
        <v>0</v>
      </c>
      <c r="P409" s="30">
        <f t="shared" si="291"/>
        <v>0</v>
      </c>
      <c r="Q409" s="30">
        <f t="shared" si="291"/>
        <v>0</v>
      </c>
      <c r="R409" s="30">
        <f t="shared" si="291"/>
        <v>0</v>
      </c>
      <c r="S409" s="30">
        <f t="shared" si="291"/>
        <v>0</v>
      </c>
      <c r="T409" s="30">
        <f t="shared" si="291"/>
        <v>0</v>
      </c>
      <c r="U409" s="30">
        <f t="shared" si="291"/>
        <v>3.469446951953614E-15</v>
      </c>
      <c r="V409" s="30">
        <f t="shared" si="291"/>
        <v>0</v>
      </c>
      <c r="W409" s="30">
        <f t="shared" si="291"/>
        <v>0</v>
      </c>
      <c r="X409" s="30">
        <f t="shared" si="291"/>
        <v>0</v>
      </c>
      <c r="Y409" s="30">
        <f t="shared" si="291"/>
        <v>0</v>
      </c>
      <c r="Z409" s="30">
        <f t="shared" si="291"/>
        <v>0</v>
      </c>
      <c r="AA409" s="154"/>
    </row>
    <row r="410" spans="1:26" ht="15.75">
      <c r="A410" s="75" t="s">
        <v>219</v>
      </c>
      <c r="B410" s="1">
        <f>(B333/$D$7)</f>
        <v>-13.684173019559118</v>
      </c>
      <c r="C410" s="1">
        <f aca="true" t="shared" si="292" ref="C410:J410">(C333/$D$7)</f>
        <v>-6.719110027261414</v>
      </c>
      <c r="D410" s="1">
        <f t="shared" si="292"/>
        <v>-3.1714417567417312</v>
      </c>
      <c r="E410" s="1">
        <f t="shared" si="292"/>
        <v>-3.1911075273600664</v>
      </c>
      <c r="F410" s="1">
        <f t="shared" si="292"/>
        <v>-4.599358861993111</v>
      </c>
      <c r="G410" s="1">
        <f t="shared" si="292"/>
        <v>-6.258985676032749</v>
      </c>
      <c r="H410" s="1">
        <f t="shared" si="292"/>
        <v>-7.781732885369986</v>
      </c>
      <c r="I410" s="1">
        <f t="shared" si="292"/>
        <v>-8.905377515818659</v>
      </c>
      <c r="J410" s="1">
        <f t="shared" si="292"/>
        <v>-9.614691144360693</v>
      </c>
      <c r="K410" s="1">
        <f aca="true" t="shared" si="293" ref="K410:Z410">(K333/$D$7)</f>
        <v>-10.2657214937772</v>
      </c>
      <c r="L410" s="1">
        <f t="shared" si="293"/>
        <v>-11.257888057653323</v>
      </c>
      <c r="M410" s="1">
        <f t="shared" si="293"/>
        <v>-12.60092177060443</v>
      </c>
      <c r="N410" s="1">
        <f t="shared" si="293"/>
        <v>-13.940867673955072</v>
      </c>
      <c r="O410" s="1">
        <f t="shared" si="293"/>
        <v>-14.981212595808616</v>
      </c>
      <c r="P410" s="1">
        <f t="shared" si="293"/>
        <v>-15.712577323798028</v>
      </c>
      <c r="Q410" s="1">
        <f t="shared" si="293"/>
        <v>-16.204928438992944</v>
      </c>
      <c r="R410" s="1">
        <f t="shared" si="293"/>
        <v>-16.38202842111966</v>
      </c>
      <c r="S410" s="1">
        <f t="shared" si="293"/>
        <v>-16.20982837123985</v>
      </c>
      <c r="T410" s="1">
        <f t="shared" si="293"/>
        <v>-16.07275048954149</v>
      </c>
      <c r="U410" s="1">
        <f t="shared" si="293"/>
        <v>-16.71024797677844</v>
      </c>
      <c r="V410" s="1">
        <f t="shared" si="293"/>
        <v>-18.53717938864674</v>
      </c>
      <c r="W410" s="1">
        <f t="shared" si="293"/>
        <v>-20.934697453145652</v>
      </c>
      <c r="X410" s="1">
        <f t="shared" si="293"/>
        <v>-22.164106146329583</v>
      </c>
      <c r="Y410" s="1">
        <f t="shared" si="293"/>
        <v>-20.028338868503127</v>
      </c>
      <c r="Z410" s="1">
        <f t="shared" si="293"/>
        <v>-13.792642494765573</v>
      </c>
    </row>
    <row r="412" ht="15.75">
      <c r="A412" s="26" t="s">
        <v>203</v>
      </c>
    </row>
    <row r="413" spans="1:26" ht="15.75">
      <c r="A413" s="75" t="s">
        <v>204</v>
      </c>
      <c r="B413" s="1">
        <f aca="true" t="shared" si="294" ref="B413:Z413">(B364*B90*B75)/B420</f>
        <v>-14.774098308876995</v>
      </c>
      <c r="C413" s="1">
        <f t="shared" si="294"/>
        <v>1.4256676816476663</v>
      </c>
      <c r="D413" s="1">
        <f t="shared" si="294"/>
        <v>3.9191272199963443</v>
      </c>
      <c r="E413" s="1">
        <f t="shared" si="294"/>
        <v>1.6112472185966684</v>
      </c>
      <c r="F413" s="1">
        <f t="shared" si="294"/>
        <v>0.4048046267586226</v>
      </c>
      <c r="G413" s="1">
        <f t="shared" si="294"/>
        <v>1.5482069324786885</v>
      </c>
      <c r="H413" s="1">
        <f t="shared" si="294"/>
        <v>5.905025373857817</v>
      </c>
      <c r="I413" s="1">
        <f t="shared" si="294"/>
        <v>19.81549651261143</v>
      </c>
      <c r="J413" s="100">
        <f t="shared" si="294"/>
        <v>-372.0689808719924</v>
      </c>
      <c r="K413" s="1">
        <f t="shared" si="294"/>
        <v>-30.022134208758978</v>
      </c>
      <c r="L413" s="1">
        <f t="shared" si="294"/>
        <v>-19.900683232574803</v>
      </c>
      <c r="M413" s="1">
        <f t="shared" si="294"/>
        <v>-15.887924747262245</v>
      </c>
      <c r="N413" s="1">
        <f t="shared" si="294"/>
        <v>-12.148384328426216</v>
      </c>
      <c r="O413" s="1">
        <f t="shared" si="294"/>
        <v>-8.45332254096745</v>
      </c>
      <c r="P413" s="1">
        <f t="shared" si="294"/>
        <v>-5.803568988752896</v>
      </c>
      <c r="Q413" s="1">
        <f t="shared" si="294"/>
        <v>-4.305266917508605</v>
      </c>
      <c r="R413" s="1">
        <f t="shared" si="294"/>
        <v>-2.6116849282021812</v>
      </c>
      <c r="S413" s="1">
        <f t="shared" si="294"/>
        <v>0.8164299237634057</v>
      </c>
      <c r="T413" s="1">
        <f t="shared" si="294"/>
        <v>6.21046134089165</v>
      </c>
      <c r="U413" s="1">
        <f t="shared" si="294"/>
        <v>12.936288014052463</v>
      </c>
      <c r="V413" s="1">
        <f t="shared" si="294"/>
        <v>23.641351901658435</v>
      </c>
      <c r="W413" s="1">
        <f t="shared" si="294"/>
        <v>68.01090767044333</v>
      </c>
      <c r="X413" s="1">
        <f t="shared" si="294"/>
        <v>-197.7381753903539</v>
      </c>
      <c r="Y413" s="1">
        <f t="shared" si="294"/>
        <v>-48.08248894117324</v>
      </c>
      <c r="Z413" s="1">
        <f t="shared" si="294"/>
        <v>-14.963805591376051</v>
      </c>
    </row>
    <row r="414" spans="1:26" ht="15.75">
      <c r="A414" s="75" t="s">
        <v>205</v>
      </c>
      <c r="B414" s="1">
        <f aca="true" t="shared" si="295" ref="B414:Z414">(-B364*B89*B75)/B420</f>
        <v>15.881625385173757</v>
      </c>
      <c r="C414" s="1">
        <f t="shared" si="295"/>
        <v>-2.010720318073728</v>
      </c>
      <c r="D414" s="1">
        <f t="shared" si="295"/>
        <v>-7.144680981047797</v>
      </c>
      <c r="E414" s="1">
        <f t="shared" si="295"/>
        <v>-3.5700123653187434</v>
      </c>
      <c r="F414" s="1">
        <f t="shared" si="295"/>
        <v>-0.9901484599172825</v>
      </c>
      <c r="G414" s="1">
        <f t="shared" si="295"/>
        <v>-3.778555919757513</v>
      </c>
      <c r="H414" s="1">
        <f t="shared" si="295"/>
        <v>-13.30286393514587</v>
      </c>
      <c r="I414" s="1">
        <f t="shared" si="295"/>
        <v>-39.353187890435116</v>
      </c>
      <c r="J414" s="100">
        <f t="shared" si="295"/>
        <v>637.9734107159367</v>
      </c>
      <c r="K414" s="1">
        <f t="shared" si="295"/>
        <v>44.19791106657627</v>
      </c>
      <c r="L414" s="1">
        <f t="shared" si="295"/>
        <v>25.21585228881723</v>
      </c>
      <c r="M414" s="1">
        <f t="shared" si="295"/>
        <v>17.438729922053923</v>
      </c>
      <c r="N414" s="1">
        <f t="shared" si="295"/>
        <v>11.649593678496643</v>
      </c>
      <c r="O414" s="1">
        <f t="shared" si="295"/>
        <v>7.152710638323979</v>
      </c>
      <c r="P414" s="1">
        <f t="shared" si="295"/>
        <v>4.382087836353722</v>
      </c>
      <c r="Q414" s="1">
        <f t="shared" si="295"/>
        <v>2.9387174409453753</v>
      </c>
      <c r="R414" s="1">
        <f t="shared" si="295"/>
        <v>1.6364537643948407</v>
      </c>
      <c r="S414" s="1">
        <f t="shared" si="295"/>
        <v>-0.4784464955858091</v>
      </c>
      <c r="T414" s="1">
        <f t="shared" si="295"/>
        <v>-3.4843410391350136</v>
      </c>
      <c r="U414" s="1">
        <f t="shared" si="295"/>
        <v>-7.158813325185519</v>
      </c>
      <c r="V414" s="1">
        <f t="shared" si="295"/>
        <v>-13.407167148923945</v>
      </c>
      <c r="W414" s="1">
        <f t="shared" si="295"/>
        <v>-41.47423173428679</v>
      </c>
      <c r="X414" s="1">
        <f t="shared" si="295"/>
        <v>137.34637605197884</v>
      </c>
      <c r="Y414" s="1">
        <f t="shared" si="295"/>
        <v>40.45939850989589</v>
      </c>
      <c r="Z414" s="1">
        <f t="shared" si="295"/>
        <v>16.085553904566307</v>
      </c>
    </row>
    <row r="415" spans="1:26" ht="15.75">
      <c r="A415" s="75" t="s">
        <v>198</v>
      </c>
      <c r="B415" s="1">
        <f aca="true" t="shared" si="296" ref="B415:Z415">B413*B33+B414*B34-B364*B75</f>
        <v>0</v>
      </c>
      <c r="C415" s="1">
        <f t="shared" si="296"/>
        <v>0</v>
      </c>
      <c r="D415" s="1">
        <f t="shared" si="296"/>
        <v>0</v>
      </c>
      <c r="E415" s="1">
        <f t="shared" si="296"/>
        <v>0</v>
      </c>
      <c r="F415" s="1">
        <f t="shared" si="296"/>
        <v>0</v>
      </c>
      <c r="G415" s="1">
        <f t="shared" si="296"/>
        <v>0</v>
      </c>
      <c r="H415" s="1">
        <f t="shared" si="296"/>
        <v>0</v>
      </c>
      <c r="I415" s="1">
        <f t="shared" si="296"/>
        <v>0</v>
      </c>
      <c r="J415" s="100">
        <f t="shared" si="296"/>
        <v>0</v>
      </c>
      <c r="K415" s="1">
        <f t="shared" si="296"/>
        <v>0</v>
      </c>
      <c r="L415" s="1">
        <f t="shared" si="296"/>
        <v>0</v>
      </c>
      <c r="M415" s="1">
        <f t="shared" si="296"/>
        <v>0</v>
      </c>
      <c r="N415" s="1">
        <f t="shared" si="296"/>
        <v>0</v>
      </c>
      <c r="O415" s="1">
        <f t="shared" si="296"/>
        <v>0</v>
      </c>
      <c r="P415" s="1">
        <f t="shared" si="296"/>
        <v>0</v>
      </c>
      <c r="Q415" s="1">
        <f t="shared" si="296"/>
        <v>0</v>
      </c>
      <c r="R415" s="1">
        <f t="shared" si="296"/>
        <v>0</v>
      </c>
      <c r="S415" s="1">
        <f t="shared" si="296"/>
        <v>0</v>
      </c>
      <c r="T415" s="1">
        <f t="shared" si="296"/>
        <v>0</v>
      </c>
      <c r="U415" s="1">
        <f t="shared" si="296"/>
        <v>0</v>
      </c>
      <c r="V415" s="1">
        <f t="shared" si="296"/>
        <v>0</v>
      </c>
      <c r="W415" s="1">
        <f t="shared" si="296"/>
        <v>0</v>
      </c>
      <c r="X415" s="1">
        <f t="shared" si="296"/>
        <v>0</v>
      </c>
      <c r="Y415" s="1">
        <f t="shared" si="296"/>
        <v>0</v>
      </c>
      <c r="Z415" s="1">
        <f t="shared" si="296"/>
        <v>0</v>
      </c>
    </row>
    <row r="416" spans="1:27" s="8" customFormat="1" ht="15.75">
      <c r="A416" s="150" t="s">
        <v>206</v>
      </c>
      <c r="B416" s="30">
        <f aca="true" t="shared" si="297" ref="B416:Z416">B362+B413</f>
        <v>-16.131657284811958</v>
      </c>
      <c r="C416" s="30">
        <f t="shared" si="297"/>
        <v>-1.9004255837640314</v>
      </c>
      <c r="D416" s="30">
        <f t="shared" si="297"/>
        <v>0.19414019042753772</v>
      </c>
      <c r="E416" s="30">
        <f t="shared" si="297"/>
        <v>-0.708127431766624</v>
      </c>
      <c r="F416" s="30">
        <f t="shared" si="297"/>
        <v>-0.3587773941408512</v>
      </c>
      <c r="G416" s="30">
        <f t="shared" si="297"/>
        <v>0.9974153405924678</v>
      </c>
      <c r="H416" s="30">
        <f t="shared" si="297"/>
        <v>4.272201136078473</v>
      </c>
      <c r="I416" s="30">
        <f t="shared" si="297"/>
        <v>17.158082408008962</v>
      </c>
      <c r="J416" s="103">
        <f t="shared" si="297"/>
        <v>-374.4475424888352</v>
      </c>
      <c r="K416" s="30">
        <f t="shared" si="297"/>
        <v>-30.929424757974914</v>
      </c>
      <c r="L416" s="30">
        <f t="shared" si="297"/>
        <v>-19.501534186562996</v>
      </c>
      <c r="M416" s="30">
        <f t="shared" si="297"/>
        <v>-15.59541009905921</v>
      </c>
      <c r="N416" s="30">
        <f t="shared" si="297"/>
        <v>-13.266937801934764</v>
      </c>
      <c r="O416" s="30">
        <f t="shared" si="297"/>
        <v>-10.92690593034397</v>
      </c>
      <c r="P416" s="30">
        <f t="shared" si="297"/>
        <v>-8.315532902517399</v>
      </c>
      <c r="Q416" s="30">
        <f t="shared" si="297"/>
        <v>-5.624892548807851</v>
      </c>
      <c r="R416" s="30">
        <f t="shared" si="297"/>
        <v>-2.8377856094183995</v>
      </c>
      <c r="S416" s="30">
        <f t="shared" si="297"/>
        <v>0.35913976109280976</v>
      </c>
      <c r="T416" s="30">
        <f t="shared" si="297"/>
        <v>4.318959406048204</v>
      </c>
      <c r="U416" s="30">
        <f t="shared" si="297"/>
        <v>9.775383578724133</v>
      </c>
      <c r="V416" s="30">
        <f t="shared" si="297"/>
        <v>20.646617647708776</v>
      </c>
      <c r="W416" s="30">
        <f t="shared" si="297"/>
        <v>66.54654943696036</v>
      </c>
      <c r="X416" s="30">
        <f t="shared" si="297"/>
        <v>-197.6575622458483</v>
      </c>
      <c r="Y416" s="30">
        <f t="shared" si="297"/>
        <v>-47.86204072519098</v>
      </c>
      <c r="Z416" s="30">
        <f t="shared" si="297"/>
        <v>-16.31837490842733</v>
      </c>
      <c r="AA416" s="154"/>
    </row>
    <row r="417" spans="1:27" s="8" customFormat="1" ht="15.75">
      <c r="A417" s="150" t="s">
        <v>207</v>
      </c>
      <c r="B417" s="30">
        <f aca="true" t="shared" si="298" ref="B417:Z417">B363+B414</f>
        <v>10.914006452210602</v>
      </c>
      <c r="C417" s="30">
        <f t="shared" si="298"/>
        <v>-7.042063271043247</v>
      </c>
      <c r="D417" s="30">
        <f t="shared" si="298"/>
        <v>-12.808414091819992</v>
      </c>
      <c r="E417" s="30">
        <f t="shared" si="298"/>
        <v>-9.872097137564293</v>
      </c>
      <c r="F417" s="30">
        <f t="shared" si="298"/>
        <v>-7.300546629991047</v>
      </c>
      <c r="G417" s="30">
        <f t="shared" si="298"/>
        <v>-9.629169056281233</v>
      </c>
      <c r="H417" s="30">
        <f t="shared" si="298"/>
        <v>-18.77530567551788</v>
      </c>
      <c r="I417" s="30">
        <f t="shared" si="298"/>
        <v>-44.89032395807159</v>
      </c>
      <c r="J417" s="103">
        <f t="shared" si="298"/>
        <v>631.9892359230352</v>
      </c>
      <c r="K417" s="30">
        <f t="shared" si="298"/>
        <v>37.75606153588063</v>
      </c>
      <c r="L417" s="30">
        <f t="shared" si="298"/>
        <v>18.7059342816194</v>
      </c>
      <c r="M417" s="30">
        <f t="shared" si="298"/>
        <v>11.414676059539898</v>
      </c>
      <c r="N417" s="30">
        <f t="shared" si="298"/>
        <v>6.489947321143575</v>
      </c>
      <c r="O417" s="30">
        <f t="shared" si="298"/>
        <v>2.8253481261297964</v>
      </c>
      <c r="P417" s="30">
        <f t="shared" si="298"/>
        <v>0.45304516962561037</v>
      </c>
      <c r="Q417" s="30">
        <f t="shared" si="298"/>
        <v>-1.182382613705753</v>
      </c>
      <c r="R417" s="30">
        <f t="shared" si="298"/>
        <v>-3.089516218969288</v>
      </c>
      <c r="S417" s="30">
        <f t="shared" si="298"/>
        <v>-5.822249764250026</v>
      </c>
      <c r="T417" s="30">
        <f t="shared" si="298"/>
        <v>-9.083456873864044</v>
      </c>
      <c r="U417" s="30">
        <f t="shared" si="298"/>
        <v>-12.535991753196154</v>
      </c>
      <c r="V417" s="30">
        <f t="shared" si="298"/>
        <v>-18.311749980993525</v>
      </c>
      <c r="W417" s="30">
        <f t="shared" si="298"/>
        <v>-46.073914084841036</v>
      </c>
      <c r="X417" s="30">
        <f t="shared" si="298"/>
        <v>132.6288431569862</v>
      </c>
      <c r="Y417" s="30">
        <f t="shared" si="298"/>
        <v>35.4605727681617</v>
      </c>
      <c r="Z417" s="30">
        <f t="shared" si="298"/>
        <v>11.101657398370037</v>
      </c>
      <c r="AA417" s="154"/>
    </row>
    <row r="418" spans="1:26" ht="15.75">
      <c r="A418" s="75" t="s">
        <v>201</v>
      </c>
      <c r="B418" s="1">
        <f aca="true" t="shared" si="299" ref="B418:Z418">B416*B33+B417*B34-B366</f>
        <v>0</v>
      </c>
      <c r="C418" s="1">
        <f t="shared" si="299"/>
        <v>0</v>
      </c>
      <c r="D418" s="1">
        <f t="shared" si="299"/>
        <v>0</v>
      </c>
      <c r="E418" s="1">
        <f t="shared" si="299"/>
        <v>0</v>
      </c>
      <c r="F418" s="1">
        <f t="shared" si="299"/>
        <v>0</v>
      </c>
      <c r="G418" s="1">
        <f t="shared" si="299"/>
        <v>0</v>
      </c>
      <c r="H418" s="1">
        <f t="shared" si="299"/>
        <v>0</v>
      </c>
      <c r="I418" s="1">
        <f t="shared" si="299"/>
        <v>0</v>
      </c>
      <c r="J418" s="100">
        <f t="shared" si="299"/>
        <v>0</v>
      </c>
      <c r="K418" s="1">
        <f t="shared" si="299"/>
        <v>0</v>
      </c>
      <c r="L418" s="1">
        <f t="shared" si="299"/>
        <v>0</v>
      </c>
      <c r="M418" s="1">
        <f t="shared" si="299"/>
        <v>0</v>
      </c>
      <c r="N418" s="1">
        <f t="shared" si="299"/>
        <v>0</v>
      </c>
      <c r="O418" s="1">
        <f t="shared" si="299"/>
        <v>0</v>
      </c>
      <c r="P418" s="1">
        <f t="shared" si="299"/>
        <v>0</v>
      </c>
      <c r="Q418" s="1">
        <f t="shared" si="299"/>
        <v>0</v>
      </c>
      <c r="R418" s="1">
        <f t="shared" si="299"/>
        <v>0</v>
      </c>
      <c r="S418" s="1">
        <f t="shared" si="299"/>
        <v>0</v>
      </c>
      <c r="T418" s="1">
        <f t="shared" si="299"/>
        <v>0</v>
      </c>
      <c r="U418" s="1">
        <f t="shared" si="299"/>
        <v>0</v>
      </c>
      <c r="V418" s="1">
        <f t="shared" si="299"/>
        <v>0</v>
      </c>
      <c r="W418" s="1">
        <f t="shared" si="299"/>
        <v>0</v>
      </c>
      <c r="X418" s="1">
        <f t="shared" si="299"/>
        <v>0</v>
      </c>
      <c r="Y418" s="1">
        <f t="shared" si="299"/>
        <v>0</v>
      </c>
      <c r="Z418" s="1">
        <f t="shared" si="299"/>
        <v>0</v>
      </c>
    </row>
    <row r="419" spans="1:10" ht="15.75">
      <c r="A419" s="75" t="s">
        <v>202</v>
      </c>
      <c r="J419" s="100"/>
    </row>
    <row r="420" spans="1:26" ht="15.75">
      <c r="A420" s="75" t="s">
        <v>197</v>
      </c>
      <c r="B420" s="1">
        <f>B33*B90-B34*B89</f>
        <v>-1.4972726776728411</v>
      </c>
      <c r="C420" s="1">
        <f aca="true" t="shared" si="300" ref="C420:J420">C33*C90-C34*C89</f>
        <v>-1.849544580756315</v>
      </c>
      <c r="D420" s="1">
        <f t="shared" si="300"/>
        <v>-1.506992044809346</v>
      </c>
      <c r="E420" s="1">
        <f t="shared" si="300"/>
        <v>-0.8005015149163899</v>
      </c>
      <c r="F420" s="1">
        <f t="shared" si="300"/>
        <v>-0.19164638393074276</v>
      </c>
      <c r="G420" s="1">
        <f t="shared" si="300"/>
        <v>0.14561147528555055</v>
      </c>
      <c r="H420" s="1">
        <f t="shared" si="300"/>
        <v>0.2356822344097107</v>
      </c>
      <c r="I420" s="1">
        <f t="shared" si="300"/>
        <v>0.15769760908293098</v>
      </c>
      <c r="J420" s="100">
        <f t="shared" si="300"/>
        <v>-0.013012045301323383</v>
      </c>
      <c r="K420" s="1">
        <f aca="true" t="shared" si="301" ref="K420:Z420">K33*K90-K34*K89</f>
        <v>-0.2187855841809595</v>
      </c>
      <c r="L420" s="1">
        <f t="shared" si="301"/>
        <v>-0.4184123188544463</v>
      </c>
      <c r="M420" s="1">
        <f t="shared" si="301"/>
        <v>-0.5831287619803966</v>
      </c>
      <c r="N420" s="1">
        <f t="shared" si="301"/>
        <v>-0.6943324188817572</v>
      </c>
      <c r="O420" s="1">
        <f t="shared" si="301"/>
        <v>-0.7425704011075781</v>
      </c>
      <c r="P420" s="1">
        <f t="shared" si="301"/>
        <v>-0.7261487969149655</v>
      </c>
      <c r="Q420" s="1">
        <f t="shared" si="301"/>
        <v>-0.6493083463192628</v>
      </c>
      <c r="R420" s="1">
        <f t="shared" si="301"/>
        <v>-0.5208578820518318</v>
      </c>
      <c r="S420" s="1">
        <f t="shared" si="301"/>
        <v>-0.3536517126571203</v>
      </c>
      <c r="T420" s="1">
        <f t="shared" si="301"/>
        <v>-0.16541304756220532</v>
      </c>
      <c r="U420" s="1">
        <f t="shared" si="301"/>
        <v>0.017173196467017166</v>
      </c>
      <c r="V420" s="1">
        <f t="shared" si="301"/>
        <v>0.1482008176786973</v>
      </c>
      <c r="W420" s="1">
        <f t="shared" si="301"/>
        <v>0.14581084063897856</v>
      </c>
      <c r="X420" s="1">
        <f t="shared" si="301"/>
        <v>-0.11420269050631349</v>
      </c>
      <c r="Y420" s="1">
        <f t="shared" si="301"/>
        <v>-0.7217201711971639</v>
      </c>
      <c r="Z420" s="1">
        <f t="shared" si="301"/>
        <v>-1.4868431987256414</v>
      </c>
    </row>
    <row r="421" spans="1:26" ht="15.75">
      <c r="A421" s="75" t="s">
        <v>215</v>
      </c>
      <c r="B421" s="1">
        <f aca="true" t="shared" si="302" ref="B421:Z421">B416*B33+B417*B34-(B242+B262+B277+B198+B177)</f>
        <v>0</v>
      </c>
      <c r="C421" s="1">
        <f t="shared" si="302"/>
        <v>0</v>
      </c>
      <c r="D421" s="1">
        <f t="shared" si="302"/>
        <v>0</v>
      </c>
      <c r="E421" s="1">
        <f t="shared" si="302"/>
        <v>0</v>
      </c>
      <c r="F421" s="1">
        <f t="shared" si="302"/>
        <v>0</v>
      </c>
      <c r="G421" s="1">
        <f t="shared" si="302"/>
        <v>0</v>
      </c>
      <c r="H421" s="1">
        <f t="shared" si="302"/>
        <v>0</v>
      </c>
      <c r="I421" s="1">
        <f t="shared" si="302"/>
        <v>0</v>
      </c>
      <c r="J421" s="100">
        <f t="shared" si="302"/>
        <v>0</v>
      </c>
      <c r="K421" s="1">
        <f t="shared" si="302"/>
        <v>0</v>
      </c>
      <c r="L421" s="1">
        <f t="shared" si="302"/>
        <v>0</v>
      </c>
      <c r="M421" s="1">
        <f t="shared" si="302"/>
        <v>0</v>
      </c>
      <c r="N421" s="1">
        <f t="shared" si="302"/>
        <v>0</v>
      </c>
      <c r="O421" s="1">
        <f t="shared" si="302"/>
        <v>0</v>
      </c>
      <c r="P421" s="1">
        <f t="shared" si="302"/>
        <v>0</v>
      </c>
      <c r="Q421" s="1">
        <f t="shared" si="302"/>
        <v>0</v>
      </c>
      <c r="R421" s="1">
        <f t="shared" si="302"/>
        <v>0</v>
      </c>
      <c r="S421" s="1">
        <f t="shared" si="302"/>
        <v>0</v>
      </c>
      <c r="T421" s="1">
        <f t="shared" si="302"/>
        <v>0</v>
      </c>
      <c r="U421" s="1">
        <f t="shared" si="302"/>
        <v>0</v>
      </c>
      <c r="V421" s="1">
        <f t="shared" si="302"/>
        <v>0</v>
      </c>
      <c r="W421" s="1">
        <f t="shared" si="302"/>
        <v>0</v>
      </c>
      <c r="X421" s="1">
        <f t="shared" si="302"/>
        <v>0</v>
      </c>
      <c r="Y421" s="1">
        <f t="shared" si="302"/>
        <v>0</v>
      </c>
      <c r="Z421" s="1">
        <f t="shared" si="302"/>
        <v>0</v>
      </c>
    </row>
    <row r="422" spans="1:26" ht="15.75">
      <c r="A422" s="75" t="s">
        <v>208</v>
      </c>
      <c r="B422" s="1">
        <f>-B413</f>
        <v>14.774098308876995</v>
      </c>
      <c r="C422" s="1">
        <f aca="true" t="shared" si="303" ref="C422:J422">-C413</f>
        <v>-1.4256676816476663</v>
      </c>
      <c r="D422" s="1">
        <f t="shared" si="303"/>
        <v>-3.9191272199963443</v>
      </c>
      <c r="E422" s="1">
        <f t="shared" si="303"/>
        <v>-1.6112472185966684</v>
      </c>
      <c r="F422" s="1">
        <f t="shared" si="303"/>
        <v>-0.4048046267586226</v>
      </c>
      <c r="G422" s="1">
        <f t="shared" si="303"/>
        <v>-1.5482069324786885</v>
      </c>
      <c r="H422" s="1">
        <f t="shared" si="303"/>
        <v>-5.905025373857817</v>
      </c>
      <c r="I422" s="1">
        <f t="shared" si="303"/>
        <v>-19.81549651261143</v>
      </c>
      <c r="J422" s="100">
        <f t="shared" si="303"/>
        <v>372.0689808719924</v>
      </c>
      <c r="K422" s="1">
        <f aca="true" t="shared" si="304" ref="K422:Z422">-K413</f>
        <v>30.022134208758978</v>
      </c>
      <c r="L422" s="1">
        <f t="shared" si="304"/>
        <v>19.900683232574803</v>
      </c>
      <c r="M422" s="1">
        <f t="shared" si="304"/>
        <v>15.887924747262245</v>
      </c>
      <c r="N422" s="1">
        <f t="shared" si="304"/>
        <v>12.148384328426216</v>
      </c>
      <c r="O422" s="1">
        <f t="shared" si="304"/>
        <v>8.45332254096745</v>
      </c>
      <c r="P422" s="1">
        <f t="shared" si="304"/>
        <v>5.803568988752896</v>
      </c>
      <c r="Q422" s="1">
        <f t="shared" si="304"/>
        <v>4.305266917508605</v>
      </c>
      <c r="R422" s="1">
        <f t="shared" si="304"/>
        <v>2.6116849282021812</v>
      </c>
      <c r="S422" s="1">
        <f t="shared" si="304"/>
        <v>-0.8164299237634057</v>
      </c>
      <c r="T422" s="1">
        <f t="shared" si="304"/>
        <v>-6.21046134089165</v>
      </c>
      <c r="U422" s="1">
        <f t="shared" si="304"/>
        <v>-12.936288014052463</v>
      </c>
      <c r="V422" s="1">
        <f t="shared" si="304"/>
        <v>-23.641351901658435</v>
      </c>
      <c r="W422" s="1">
        <f t="shared" si="304"/>
        <v>-68.01090767044333</v>
      </c>
      <c r="X422" s="1">
        <f t="shared" si="304"/>
        <v>197.7381753903539</v>
      </c>
      <c r="Y422" s="1">
        <f t="shared" si="304"/>
        <v>48.08248894117324</v>
      </c>
      <c r="Z422" s="1">
        <f t="shared" si="304"/>
        <v>14.963805591376051</v>
      </c>
    </row>
    <row r="423" spans="1:26" ht="15.75">
      <c r="A423" s="75" t="s">
        <v>209</v>
      </c>
      <c r="B423" s="1">
        <f>-B414</f>
        <v>-15.881625385173757</v>
      </c>
      <c r="C423" s="1">
        <f aca="true" t="shared" si="305" ref="C423:J423">-C414</f>
        <v>2.010720318073728</v>
      </c>
      <c r="D423" s="1">
        <f t="shared" si="305"/>
        <v>7.144680981047797</v>
      </c>
      <c r="E423" s="1">
        <f t="shared" si="305"/>
        <v>3.5700123653187434</v>
      </c>
      <c r="F423" s="1">
        <f t="shared" si="305"/>
        <v>0.9901484599172825</v>
      </c>
      <c r="G423" s="1">
        <f t="shared" si="305"/>
        <v>3.778555919757513</v>
      </c>
      <c r="H423" s="1">
        <f t="shared" si="305"/>
        <v>13.30286393514587</v>
      </c>
      <c r="I423" s="1">
        <f t="shared" si="305"/>
        <v>39.353187890435116</v>
      </c>
      <c r="J423" s="100">
        <f t="shared" si="305"/>
        <v>-637.9734107159367</v>
      </c>
      <c r="K423" s="1">
        <f aca="true" t="shared" si="306" ref="K423:Z423">-K414</f>
        <v>-44.19791106657627</v>
      </c>
      <c r="L423" s="1">
        <f t="shared" si="306"/>
        <v>-25.21585228881723</v>
      </c>
      <c r="M423" s="1">
        <f t="shared" si="306"/>
        <v>-17.438729922053923</v>
      </c>
      <c r="N423" s="1">
        <f t="shared" si="306"/>
        <v>-11.649593678496643</v>
      </c>
      <c r="O423" s="1">
        <f t="shared" si="306"/>
        <v>-7.152710638323979</v>
      </c>
      <c r="P423" s="1">
        <f t="shared" si="306"/>
        <v>-4.382087836353722</v>
      </c>
      <c r="Q423" s="1">
        <f t="shared" si="306"/>
        <v>-2.9387174409453753</v>
      </c>
      <c r="R423" s="1">
        <f t="shared" si="306"/>
        <v>-1.6364537643948407</v>
      </c>
      <c r="S423" s="1">
        <f t="shared" si="306"/>
        <v>0.4784464955858091</v>
      </c>
      <c r="T423" s="1">
        <f t="shared" si="306"/>
        <v>3.4843410391350136</v>
      </c>
      <c r="U423" s="1">
        <f t="shared" si="306"/>
        <v>7.158813325185519</v>
      </c>
      <c r="V423" s="1">
        <f t="shared" si="306"/>
        <v>13.407167148923945</v>
      </c>
      <c r="W423" s="1">
        <f t="shared" si="306"/>
        <v>41.47423173428679</v>
      </c>
      <c r="X423" s="1">
        <f t="shared" si="306"/>
        <v>-137.34637605197884</v>
      </c>
      <c r="Y423" s="1">
        <f t="shared" si="306"/>
        <v>-40.45939850989589</v>
      </c>
      <c r="Z423" s="1">
        <f t="shared" si="306"/>
        <v>-16.085553904566307</v>
      </c>
    </row>
    <row r="424" spans="1:27" s="8" customFormat="1" ht="15.75">
      <c r="A424" s="150" t="s">
        <v>199</v>
      </c>
      <c r="B424" s="30">
        <f aca="true" t="shared" si="307" ref="B424:Z424">B422*B89+B423*B90</f>
        <v>0</v>
      </c>
      <c r="C424" s="30">
        <f t="shared" si="307"/>
        <v>0</v>
      </c>
      <c r="D424" s="30">
        <f t="shared" si="307"/>
        <v>0</v>
      </c>
      <c r="E424" s="30">
        <f t="shared" si="307"/>
        <v>0</v>
      </c>
      <c r="F424" s="30">
        <f t="shared" si="307"/>
        <v>0</v>
      </c>
      <c r="G424" s="30">
        <f t="shared" si="307"/>
        <v>0</v>
      </c>
      <c r="H424" s="30">
        <f t="shared" si="307"/>
        <v>0</v>
      </c>
      <c r="I424" s="30">
        <f t="shared" si="307"/>
        <v>0</v>
      </c>
      <c r="J424" s="103">
        <f t="shared" si="307"/>
        <v>0</v>
      </c>
      <c r="K424" s="30">
        <f t="shared" si="307"/>
        <v>0</v>
      </c>
      <c r="L424" s="30">
        <f t="shared" si="307"/>
        <v>0</v>
      </c>
      <c r="M424" s="30">
        <f t="shared" si="307"/>
        <v>0</v>
      </c>
      <c r="N424" s="30">
        <f t="shared" si="307"/>
        <v>0</v>
      </c>
      <c r="O424" s="30">
        <f t="shared" si="307"/>
        <v>0</v>
      </c>
      <c r="P424" s="30">
        <f t="shared" si="307"/>
        <v>0</v>
      </c>
      <c r="Q424" s="30">
        <f t="shared" si="307"/>
        <v>0</v>
      </c>
      <c r="R424" s="30">
        <f t="shared" si="307"/>
        <v>0</v>
      </c>
      <c r="S424" s="30">
        <f t="shared" si="307"/>
        <v>0</v>
      </c>
      <c r="T424" s="30">
        <f t="shared" si="307"/>
        <v>0</v>
      </c>
      <c r="U424" s="30">
        <f t="shared" si="307"/>
        <v>0</v>
      </c>
      <c r="V424" s="30">
        <f t="shared" si="307"/>
        <v>0</v>
      </c>
      <c r="W424" s="30">
        <f t="shared" si="307"/>
        <v>0</v>
      </c>
      <c r="X424" s="30">
        <f t="shared" si="307"/>
        <v>0</v>
      </c>
      <c r="Y424" s="30">
        <f t="shared" si="307"/>
        <v>0</v>
      </c>
      <c r="Z424" s="30">
        <f t="shared" si="307"/>
        <v>0</v>
      </c>
      <c r="AA424" s="154"/>
    </row>
    <row r="425" spans="1:26" ht="15.75">
      <c r="A425" s="75" t="s">
        <v>216</v>
      </c>
      <c r="B425" s="1">
        <f>B407+B422</f>
        <v>23.995783086751146</v>
      </c>
      <c r="C425" s="1">
        <f aca="true" t="shared" si="308" ref="C425:J425">C407+C422</f>
        <v>1.5044899696155187</v>
      </c>
      <c r="D425" s="1">
        <f t="shared" si="308"/>
        <v>-4.302902476344139</v>
      </c>
      <c r="E425" s="1">
        <f t="shared" si="308"/>
        <v>-0.8374542830788627</v>
      </c>
      <c r="F425" s="1">
        <f t="shared" si="308"/>
        <v>2.9986287069071373</v>
      </c>
      <c r="G425" s="1">
        <f t="shared" si="308"/>
        <v>3.452841302874962</v>
      </c>
      <c r="H425" s="1">
        <f t="shared" si="308"/>
        <v>-0.7404863800125936</v>
      </c>
      <c r="I425" s="1">
        <f t="shared" si="308"/>
        <v>-14.873158978626005</v>
      </c>
      <c r="J425" s="100">
        <f t="shared" si="308"/>
        <v>377.6214076031301</v>
      </c>
      <c r="K425" s="1">
        <f aca="true" t="shared" si="309" ref="K425:Z425">K407+K422</f>
        <v>37.22665386320762</v>
      </c>
      <c r="L425" s="1">
        <f t="shared" si="309"/>
        <v>28.768519746130337</v>
      </c>
      <c r="M425" s="1">
        <f t="shared" si="309"/>
        <v>25.159525947450692</v>
      </c>
      <c r="N425" s="1">
        <f t="shared" si="309"/>
        <v>20.399509948080805</v>
      </c>
      <c r="O425" s="1">
        <f t="shared" si="309"/>
        <v>15.455577876196672</v>
      </c>
      <c r="P425" s="1">
        <f t="shared" si="309"/>
        <v>12.653007744230077</v>
      </c>
      <c r="Q425" s="1">
        <f t="shared" si="309"/>
        <v>12.115621533214384</v>
      </c>
      <c r="R425" s="1">
        <f t="shared" si="309"/>
        <v>11.172761895572354</v>
      </c>
      <c r="S425" s="1">
        <f t="shared" si="309"/>
        <v>7.085023318969126</v>
      </c>
      <c r="T425" s="1">
        <f t="shared" si="309"/>
        <v>-0.03532526588050011</v>
      </c>
      <c r="U425" s="1">
        <f t="shared" si="309"/>
        <v>-7.81209950253567</v>
      </c>
      <c r="V425" s="1">
        <f t="shared" si="309"/>
        <v>-17.358761200432863</v>
      </c>
      <c r="W425" s="1">
        <f t="shared" si="309"/>
        <v>-58.53702252495405</v>
      </c>
      <c r="X425" s="1">
        <f t="shared" si="309"/>
        <v>210.45938181762912</v>
      </c>
      <c r="Y425" s="1">
        <f t="shared" si="309"/>
        <v>61.36295126273228</v>
      </c>
      <c r="Z425" s="1">
        <f t="shared" si="309"/>
        <v>24.263965878145697</v>
      </c>
    </row>
    <row r="426" spans="1:26" ht="15.75">
      <c r="A426" s="75" t="s">
        <v>217</v>
      </c>
      <c r="B426" s="1">
        <f>B408+B423</f>
        <v>-13.738329002663066</v>
      </c>
      <c r="C426" s="1">
        <f aca="true" t="shared" si="310" ref="C426:J426">C408+C423</f>
        <v>-1.4494651068603606</v>
      </c>
      <c r="D426" s="1">
        <f t="shared" si="310"/>
        <v>0.8738482345209855</v>
      </c>
      <c r="E426" s="1">
        <f t="shared" si="310"/>
        <v>-3.2704325884267993</v>
      </c>
      <c r="F426" s="1">
        <f t="shared" si="310"/>
        <v>-5.242965449097909</v>
      </c>
      <c r="G426" s="1">
        <f t="shared" si="310"/>
        <v>-1.2818813822069175</v>
      </c>
      <c r="H426" s="1">
        <f t="shared" si="310"/>
        <v>9.419946077343386</v>
      </c>
      <c r="I426" s="1">
        <f t="shared" si="310"/>
        <v>36.23645780340594</v>
      </c>
      <c r="J426" s="1">
        <f t="shared" si="310"/>
        <v>-640.7303606728556</v>
      </c>
      <c r="K426" s="1">
        <f aca="true" t="shared" si="311" ref="K426:Z426">K408+K423</f>
        <v>-46.52822956808869</v>
      </c>
      <c r="L426" s="1">
        <f t="shared" si="311"/>
        <v>-26.455985958651663</v>
      </c>
      <c r="M426" s="1">
        <f t="shared" si="311"/>
        <v>-16.738835038438225</v>
      </c>
      <c r="N426" s="1">
        <f t="shared" si="311"/>
        <v>-8.579310788635983</v>
      </c>
      <c r="O426" s="1">
        <f t="shared" si="311"/>
        <v>-1.958227218936356</v>
      </c>
      <c r="P426" s="1">
        <f t="shared" si="311"/>
        <v>2.2200732434647117</v>
      </c>
      <c r="Q426" s="1">
        <f t="shared" si="311"/>
        <v>4.216902694050187</v>
      </c>
      <c r="R426" s="1">
        <f t="shared" si="311"/>
        <v>5.317091174577049</v>
      </c>
      <c r="S426" s="1">
        <f t="shared" si="311"/>
        <v>6.839044570763652</v>
      </c>
      <c r="T426" s="1">
        <f t="shared" si="311"/>
        <v>9.573892548164238</v>
      </c>
      <c r="U426" s="1">
        <f t="shared" si="311"/>
        <v>14.07172237383947</v>
      </c>
      <c r="V426" s="1">
        <f t="shared" si="311"/>
        <v>22.353825182623787</v>
      </c>
      <c r="W426" s="1">
        <f t="shared" si="311"/>
        <v>52.59029682428665</v>
      </c>
      <c r="X426" s="1">
        <f t="shared" si="311"/>
        <v>-125.89427232852883</v>
      </c>
      <c r="Y426" s="1">
        <f t="shared" si="311"/>
        <v>-32.164995984781115</v>
      </c>
      <c r="Z426" s="1">
        <f t="shared" si="311"/>
        <v>-13.886155354846814</v>
      </c>
    </row>
    <row r="427" spans="1:27" s="11" customFormat="1" ht="15">
      <c r="A427" s="25" t="s">
        <v>214</v>
      </c>
      <c r="B427" s="25">
        <f aca="true" t="shared" si="312" ref="B427:Z427">B425*B89+B426*B90-B335</f>
        <v>0</v>
      </c>
      <c r="C427" s="25">
        <f t="shared" si="312"/>
        <v>-2.6645352591003757E-15</v>
      </c>
      <c r="D427" s="25">
        <f t="shared" si="312"/>
        <v>0</v>
      </c>
      <c r="E427" s="25">
        <f t="shared" si="312"/>
        <v>0</v>
      </c>
      <c r="F427" s="25">
        <f t="shared" si="312"/>
        <v>1.0547118733938987E-15</v>
      </c>
      <c r="G427" s="25">
        <f t="shared" si="312"/>
        <v>0</v>
      </c>
      <c r="H427" s="25">
        <f t="shared" si="312"/>
        <v>0</v>
      </c>
      <c r="I427" s="25">
        <f t="shared" si="312"/>
        <v>0</v>
      </c>
      <c r="J427" s="25">
        <f t="shared" si="312"/>
        <v>0</v>
      </c>
      <c r="K427" s="25">
        <f t="shared" si="312"/>
        <v>0</v>
      </c>
      <c r="L427" s="25">
        <f t="shared" si="312"/>
        <v>0</v>
      </c>
      <c r="M427" s="25">
        <f t="shared" si="312"/>
        <v>0</v>
      </c>
      <c r="N427" s="25">
        <f t="shared" si="312"/>
        <v>0</v>
      </c>
      <c r="O427" s="25">
        <f t="shared" si="312"/>
        <v>0</v>
      </c>
      <c r="P427" s="25">
        <f t="shared" si="312"/>
        <v>0</v>
      </c>
      <c r="Q427" s="25">
        <f t="shared" si="312"/>
        <v>0</v>
      </c>
      <c r="R427" s="25">
        <f t="shared" si="312"/>
        <v>0</v>
      </c>
      <c r="S427" s="25">
        <f t="shared" si="312"/>
        <v>0</v>
      </c>
      <c r="T427" s="25">
        <f t="shared" si="312"/>
        <v>0</v>
      </c>
      <c r="U427" s="25">
        <f t="shared" si="312"/>
        <v>3.4416913763379853E-15</v>
      </c>
      <c r="V427" s="25">
        <f t="shared" si="312"/>
        <v>0</v>
      </c>
      <c r="W427" s="25">
        <f t="shared" si="312"/>
        <v>0</v>
      </c>
      <c r="X427" s="25">
        <f t="shared" si="312"/>
        <v>0</v>
      </c>
      <c r="Y427" s="25">
        <f t="shared" si="312"/>
        <v>0</v>
      </c>
      <c r="Z427" s="25">
        <f t="shared" si="312"/>
        <v>0</v>
      </c>
      <c r="AA427" s="158"/>
    </row>
    <row r="429" ht="15.75">
      <c r="A429" s="26" t="s">
        <v>210</v>
      </c>
    </row>
    <row r="430" spans="1:26" ht="15.75">
      <c r="A430" s="75" t="s">
        <v>211</v>
      </c>
      <c r="B430" s="1">
        <f aca="true" t="shared" si="313" ref="B430:Z430">B149+B416</f>
        <v>-15.631657284811958</v>
      </c>
      <c r="C430" s="1">
        <f t="shared" si="313"/>
        <v>-1.5430210561406057</v>
      </c>
      <c r="D430" s="1">
        <f t="shared" si="313"/>
        <v>0.37112781872388856</v>
      </c>
      <c r="E430" s="1">
        <f t="shared" si="313"/>
        <v>-0.7172412281662972</v>
      </c>
      <c r="F430" s="1">
        <f t="shared" si="313"/>
        <v>-0.5445822941883524</v>
      </c>
      <c r="G430" s="1">
        <f t="shared" si="313"/>
        <v>0.6471620109454239</v>
      </c>
      <c r="H430" s="1">
        <f t="shared" si="313"/>
        <v>3.7785756937149966</v>
      </c>
      <c r="I430" s="1">
        <f t="shared" si="313"/>
        <v>16.553699507157617</v>
      </c>
      <c r="J430" s="1">
        <f t="shared" si="313"/>
        <v>-375.1220213159056</v>
      </c>
      <c r="K430" s="1">
        <f t="shared" si="313"/>
        <v>-31.628754186137517</v>
      </c>
      <c r="L430" s="1">
        <f t="shared" si="313"/>
        <v>-20.178042469257726</v>
      </c>
      <c r="M430" s="1">
        <f t="shared" si="313"/>
        <v>-16.202077263952486</v>
      </c>
      <c r="N430" s="1">
        <f t="shared" si="313"/>
        <v>-13.761637092353329</v>
      </c>
      <c r="O430" s="1">
        <f t="shared" si="313"/>
        <v>-11.27581648993769</v>
      </c>
      <c r="P430" s="1">
        <f t="shared" si="313"/>
        <v>-8.494999285624871</v>
      </c>
      <c r="Q430" s="1">
        <f t="shared" si="313"/>
        <v>-5.622856653926882</v>
      </c>
      <c r="R430" s="1">
        <f t="shared" si="313"/>
        <v>-2.6550608236978452</v>
      </c>
      <c r="S430" s="1">
        <f t="shared" si="313"/>
        <v>0.7089840979633142</v>
      </c>
      <c r="T430" s="1">
        <f t="shared" si="313"/>
        <v>4.811432408583602</v>
      </c>
      <c r="U430" s="1">
        <f t="shared" si="313"/>
        <v>10.377201672331637</v>
      </c>
      <c r="V430" s="1">
        <f t="shared" si="313"/>
        <v>21.317308637090573</v>
      </c>
      <c r="W430" s="1">
        <f t="shared" si="313"/>
        <v>67.24086224598952</v>
      </c>
      <c r="X430" s="1">
        <f t="shared" si="313"/>
        <v>-196.98522194148893</v>
      </c>
      <c r="Y430" s="1">
        <f t="shared" si="313"/>
        <v>-47.253504925882275</v>
      </c>
      <c r="Z430" s="1">
        <f t="shared" si="313"/>
        <v>-15.813437125650687</v>
      </c>
    </row>
    <row r="431" spans="1:26" ht="15.75">
      <c r="A431" s="75" t="s">
        <v>212</v>
      </c>
      <c r="B431" s="1">
        <f aca="true" t="shared" si="314" ref="B431:Z431">B150+B417+$L$5</f>
        <v>21.224006452210602</v>
      </c>
      <c r="C431" s="1">
        <f t="shared" si="314"/>
        <v>3.3780857096515033</v>
      </c>
      <c r="D431" s="1">
        <f t="shared" si="314"/>
        <v>-2.3113744583700395</v>
      </c>
      <c r="E431" s="1">
        <f t="shared" si="314"/>
        <v>0.6437456599418603</v>
      </c>
      <c r="F431" s="1">
        <f t="shared" si="314"/>
        <v>3.1854898612119547</v>
      </c>
      <c r="G431" s="1">
        <f t="shared" si="314"/>
        <v>0.7854513520754676</v>
      </c>
      <c r="H431" s="1">
        <f t="shared" si="314"/>
        <v>-8.4715113287337</v>
      </c>
      <c r="I431" s="1">
        <f t="shared" si="314"/>
        <v>-34.73059836640479</v>
      </c>
      <c r="J431" s="1">
        <f t="shared" si="314"/>
        <v>641.9813447204236</v>
      </c>
      <c r="K431" s="1">
        <f t="shared" si="314"/>
        <v>47.56759514987429</v>
      </c>
      <c r="L431" s="1">
        <f t="shared" si="314"/>
        <v>28.335591149046948</v>
      </c>
      <c r="M431" s="1">
        <f t="shared" si="314"/>
        <v>20.87425021155841</v>
      </c>
      <c r="N431" s="1">
        <f t="shared" si="314"/>
        <v>15.80395235840476</v>
      </c>
      <c r="O431" s="1">
        <f t="shared" si="314"/>
        <v>12.02844705796783</v>
      </c>
      <c r="P431" s="1">
        <f t="shared" si="314"/>
        <v>9.587087256095367</v>
      </c>
      <c r="Q431" s="1">
        <f t="shared" si="314"/>
        <v>7.929079740827638</v>
      </c>
      <c r="R431" s="1">
        <f t="shared" si="314"/>
        <v>6.047367869513477</v>
      </c>
      <c r="S431" s="1">
        <f t="shared" si="314"/>
        <v>3.385739741309429</v>
      </c>
      <c r="T431" s="1">
        <f t="shared" si="314"/>
        <v>0.23578565741893698</v>
      </c>
      <c r="U431" s="1">
        <f t="shared" si="314"/>
        <v>-3.0728410155030197</v>
      </c>
      <c r="V431" s="1">
        <f t="shared" si="314"/>
        <v>-8.68141190997895</v>
      </c>
      <c r="W431" s="1">
        <f t="shared" si="314"/>
        <v>-36.26502134453907</v>
      </c>
      <c r="X431" s="1">
        <f t="shared" si="314"/>
        <v>142.61449412362043</v>
      </c>
      <c r="Y431" s="1">
        <f t="shared" si="314"/>
        <v>45.61090275641942</v>
      </c>
      <c r="Z431" s="1">
        <f t="shared" si="314"/>
        <v>21.399753964578238</v>
      </c>
    </row>
    <row r="432" spans="1:26" ht="15.75">
      <c r="A432" s="75" t="s">
        <v>213</v>
      </c>
      <c r="B432" s="1">
        <f aca="true" t="shared" si="315" ref="B432:Z432">B151-B416*B32+B417*B31-B149*B140+(B150+$L$5)*B139</f>
        <v>6.288880435606257</v>
      </c>
      <c r="C432" s="1">
        <f t="shared" si="315"/>
        <v>-9.704362841058888</v>
      </c>
      <c r="D432" s="1">
        <f t="shared" si="315"/>
        <v>-12.888854473124972</v>
      </c>
      <c r="E432" s="1">
        <f t="shared" si="315"/>
        <v>-6.367683946921706</v>
      </c>
      <c r="F432" s="1">
        <f t="shared" si="315"/>
        <v>-1.4397783802426412</v>
      </c>
      <c r="G432" s="1">
        <f t="shared" si="315"/>
        <v>0.16890442070544376</v>
      </c>
      <c r="H432" s="1">
        <f t="shared" si="315"/>
        <v>0.9613771631118526</v>
      </c>
      <c r="I432" s="1">
        <f t="shared" si="315"/>
        <v>1.88885846291962</v>
      </c>
      <c r="J432" s="1">
        <f t="shared" si="315"/>
        <v>2.168857709275059</v>
      </c>
      <c r="K432" s="1">
        <f t="shared" si="315"/>
        <v>1.2659168448187428</v>
      </c>
      <c r="L432" s="1">
        <f t="shared" si="315"/>
        <v>-0.20379389912028145</v>
      </c>
      <c r="M432" s="1">
        <f t="shared" si="315"/>
        <v>-1.29567232025083</v>
      </c>
      <c r="N432" s="1">
        <f t="shared" si="315"/>
        <v>-1.817442369909707</v>
      </c>
      <c r="O432" s="1">
        <f t="shared" si="315"/>
        <v>-2.262129791075629</v>
      </c>
      <c r="P432" s="1">
        <f t="shared" si="315"/>
        <v>-2.8791901522318355</v>
      </c>
      <c r="Q432" s="1">
        <f t="shared" si="315"/>
        <v>-3.229175888518266</v>
      </c>
      <c r="R432" s="1">
        <f t="shared" si="315"/>
        <v>-2.784354403165966</v>
      </c>
      <c r="S432" s="1">
        <f t="shared" si="315"/>
        <v>-1.7155338183785456</v>
      </c>
      <c r="T432" s="1">
        <f t="shared" si="315"/>
        <v>-0.747799874334464</v>
      </c>
      <c r="U432" s="1">
        <f t="shared" si="315"/>
        <v>-0.06718111604999688</v>
      </c>
      <c r="V432" s="1">
        <f t="shared" si="315"/>
        <v>1.5659016820332479</v>
      </c>
      <c r="W432" s="1">
        <f t="shared" si="315"/>
        <v>6.149948762021312</v>
      </c>
      <c r="X432" s="1">
        <f t="shared" si="315"/>
        <v>13.48238258655412</v>
      </c>
      <c r="Y432" s="1">
        <f t="shared" si="315"/>
        <v>16.841216568443674</v>
      </c>
      <c r="Z432" s="1">
        <f t="shared" si="315"/>
        <v>6.505023298326684</v>
      </c>
    </row>
    <row r="433" spans="1:26" ht="15.75">
      <c r="A433" s="75" t="s">
        <v>200</v>
      </c>
      <c r="B433" s="1">
        <f aca="true" t="shared" si="316" ref="B433:Z433">B432-(B242+B262+B277+B198+B177+B155)</f>
        <v>0</v>
      </c>
      <c r="C433" s="1">
        <f t="shared" si="316"/>
        <v>0</v>
      </c>
      <c r="D433" s="1">
        <f t="shared" si="316"/>
        <v>0.021220532844374418</v>
      </c>
      <c r="E433" s="1">
        <f t="shared" si="316"/>
        <v>-0.00569379961378047</v>
      </c>
      <c r="F433" s="1">
        <f t="shared" si="316"/>
        <v>-0.006137658645309463</v>
      </c>
      <c r="G433" s="1">
        <f t="shared" si="316"/>
        <v>0.0010018509551432686</v>
      </c>
      <c r="H433" s="1">
        <f t="shared" si="316"/>
        <v>0.006066302937187018</v>
      </c>
      <c r="I433" s="1">
        <f t="shared" si="316"/>
        <v>0.01183470057183289</v>
      </c>
      <c r="J433" s="1">
        <f t="shared" si="316"/>
        <v>0.0130397027184177</v>
      </c>
      <c r="K433" s="1">
        <f t="shared" si="316"/>
        <v>0.006981056180555001</v>
      </c>
      <c r="L433" s="1">
        <f t="shared" si="316"/>
        <v>-0.0010074316122556937</v>
      </c>
      <c r="M433" s="1">
        <f t="shared" si="316"/>
        <v>-0.0059732185126755155</v>
      </c>
      <c r="N433" s="1">
        <f t="shared" si="316"/>
        <v>-0.008476094485026842</v>
      </c>
      <c r="O433" s="1">
        <f t="shared" si="316"/>
        <v>-0.011320887230599652</v>
      </c>
      <c r="P433" s="1">
        <f t="shared" si="316"/>
        <v>-0.015785334715290755</v>
      </c>
      <c r="Q433" s="1">
        <f t="shared" si="316"/>
        <v>-0.01962616761366176</v>
      </c>
      <c r="R433" s="1">
        <f t="shared" si="316"/>
        <v>-0.01903298124978292</v>
      </c>
      <c r="S433" s="1">
        <f t="shared" si="316"/>
        <v>-0.013186030359021661</v>
      </c>
      <c r="T433" s="1">
        <f t="shared" si="316"/>
        <v>-0.006296635254398275</v>
      </c>
      <c r="U433" s="1">
        <f t="shared" si="316"/>
        <v>-0.0005960858772970923</v>
      </c>
      <c r="V433" s="1">
        <f t="shared" si="316"/>
        <v>0.014203127434023521</v>
      </c>
      <c r="W433" s="1">
        <f t="shared" si="316"/>
        <v>0.05589073647679221</v>
      </c>
      <c r="X433" s="1">
        <f t="shared" si="316"/>
        <v>0.11695017516892747</v>
      </c>
      <c r="Y433" s="1">
        <f t="shared" si="316"/>
        <v>0.11872176313785587</v>
      </c>
      <c r="Z433" s="1">
        <f t="shared" si="316"/>
        <v>0.02269545228599945</v>
      </c>
    </row>
    <row r="434" spans="1:26" ht="15.75">
      <c r="A434" s="75" t="s">
        <v>232</v>
      </c>
      <c r="B434" s="1">
        <f>(B242+B262+B277+B198+B177+B155)</f>
        <v>6.28888043560626</v>
      </c>
      <c r="C434" s="1">
        <f aca="true" t="shared" si="317" ref="C434:Z434">(C242+C262+C277+C198+C177+C155)</f>
        <v>-9.704362841058888</v>
      </c>
      <c r="D434" s="1">
        <f t="shared" si="317"/>
        <v>-12.910075005969347</v>
      </c>
      <c r="E434" s="1">
        <f t="shared" si="317"/>
        <v>-6.3619901473079254</v>
      </c>
      <c r="F434" s="1">
        <f t="shared" si="317"/>
        <v>-1.4336407215973317</v>
      </c>
      <c r="G434" s="1">
        <f t="shared" si="317"/>
        <v>0.1679025697503005</v>
      </c>
      <c r="H434" s="1">
        <f t="shared" si="317"/>
        <v>0.9553108601746656</v>
      </c>
      <c r="I434" s="1">
        <f t="shared" si="317"/>
        <v>1.877023762347787</v>
      </c>
      <c r="J434" s="1">
        <f t="shared" si="317"/>
        <v>2.1558180065566415</v>
      </c>
      <c r="K434" s="1">
        <f t="shared" si="317"/>
        <v>1.2589357886381878</v>
      </c>
      <c r="L434" s="1">
        <f t="shared" si="317"/>
        <v>-0.20278646750802576</v>
      </c>
      <c r="M434" s="1">
        <f t="shared" si="317"/>
        <v>-1.2896991017381545</v>
      </c>
      <c r="N434" s="1">
        <f t="shared" si="317"/>
        <v>-1.8089662754246802</v>
      </c>
      <c r="O434" s="1">
        <f t="shared" si="317"/>
        <v>-2.250808903845029</v>
      </c>
      <c r="P434" s="1">
        <f t="shared" si="317"/>
        <v>-2.8634048175165447</v>
      </c>
      <c r="Q434" s="1">
        <f t="shared" si="317"/>
        <v>-3.2095497209046044</v>
      </c>
      <c r="R434" s="1">
        <f t="shared" si="317"/>
        <v>-2.765321421916183</v>
      </c>
      <c r="S434" s="1">
        <f t="shared" si="317"/>
        <v>-1.702347788019524</v>
      </c>
      <c r="T434" s="1">
        <f t="shared" si="317"/>
        <v>-0.7415032390800658</v>
      </c>
      <c r="U434" s="1">
        <f t="shared" si="317"/>
        <v>-0.06658503017269979</v>
      </c>
      <c r="V434" s="1">
        <f t="shared" si="317"/>
        <v>1.5516985545992243</v>
      </c>
      <c r="W434" s="1">
        <f t="shared" si="317"/>
        <v>6.09405802554452</v>
      </c>
      <c r="X434" s="1">
        <f t="shared" si="317"/>
        <v>13.365432411385193</v>
      </c>
      <c r="Y434" s="1">
        <f t="shared" si="317"/>
        <v>16.722494805305818</v>
      </c>
      <c r="Z434" s="1">
        <f t="shared" si="317"/>
        <v>6.482327846040684</v>
      </c>
    </row>
    <row r="435" spans="1:26" ht="15.75">
      <c r="A435" s="75" t="s">
        <v>223</v>
      </c>
      <c r="B435" s="1">
        <f aca="true" t="shared" si="318" ref="B435:Z435">(B242+B262+B277+B198+B177+B155)/B26</f>
        <v>6.28888043560626</v>
      </c>
      <c r="C435" s="1">
        <f t="shared" si="318"/>
        <v>-9.704362841058888</v>
      </c>
      <c r="D435" s="1">
        <f t="shared" si="318"/>
        <v>-12.888854473124976</v>
      </c>
      <c r="E435" s="1">
        <f t="shared" si="318"/>
        <v>-6.367683946921708</v>
      </c>
      <c r="F435" s="1">
        <f t="shared" si="318"/>
        <v>-1.439778380242641</v>
      </c>
      <c r="G435" s="1">
        <f t="shared" si="318"/>
        <v>0.16890442070544387</v>
      </c>
      <c r="H435" s="1">
        <f t="shared" si="318"/>
        <v>0.9613771631118541</v>
      </c>
      <c r="I435" s="1">
        <f t="shared" si="318"/>
        <v>1.888858462919624</v>
      </c>
      <c r="J435" s="1">
        <f t="shared" si="318"/>
        <v>2.1688577092750796</v>
      </c>
      <c r="K435" s="1">
        <f t="shared" si="318"/>
        <v>1.2659168448187386</v>
      </c>
      <c r="L435" s="1">
        <f t="shared" si="318"/>
        <v>-0.2037938991202843</v>
      </c>
      <c r="M435" s="1">
        <f t="shared" si="318"/>
        <v>-1.2956723202508318</v>
      </c>
      <c r="N435" s="1">
        <f t="shared" si="318"/>
        <v>-1.817442369909703</v>
      </c>
      <c r="O435" s="1">
        <f t="shared" si="318"/>
        <v>-2.2621297910756244</v>
      </c>
      <c r="P435" s="1">
        <f t="shared" si="318"/>
        <v>-2.8791901522318364</v>
      </c>
      <c r="Q435" s="1">
        <f t="shared" si="318"/>
        <v>-3.229175888518269</v>
      </c>
      <c r="R435" s="1">
        <f t="shared" si="318"/>
        <v>-2.784354403165966</v>
      </c>
      <c r="S435" s="1">
        <f t="shared" si="318"/>
        <v>-1.7155338183785445</v>
      </c>
      <c r="T435" s="1">
        <f t="shared" si="318"/>
        <v>-0.7477998743344646</v>
      </c>
      <c r="U435" s="1">
        <f t="shared" si="318"/>
        <v>-0.06718111604999723</v>
      </c>
      <c r="V435" s="1">
        <f t="shared" si="318"/>
        <v>1.565901682033248</v>
      </c>
      <c r="W435" s="1">
        <f t="shared" si="318"/>
        <v>6.149948762021312</v>
      </c>
      <c r="X435" s="1">
        <f t="shared" si="318"/>
        <v>13.482382586554126</v>
      </c>
      <c r="Y435" s="1">
        <f t="shared" si="318"/>
        <v>16.84121656844367</v>
      </c>
      <c r="Z435" s="1">
        <f t="shared" si="318"/>
        <v>6.50502329832668</v>
      </c>
    </row>
    <row r="437" ht="15.75">
      <c r="A437" s="75" t="s">
        <v>224</v>
      </c>
    </row>
    <row r="438" spans="1:26" ht="15.75">
      <c r="A438" s="75" t="s">
        <v>225</v>
      </c>
      <c r="B438" s="1">
        <f>B155</f>
        <v>-4.905</v>
      </c>
      <c r="C438" s="1">
        <f aca="true" t="shared" si="319" ref="C438:Z438">C155</f>
        <v>-3.458925441066607</v>
      </c>
      <c r="D438" s="1">
        <f t="shared" si="319"/>
        <v>-1.8128910328759562</v>
      </c>
      <c r="E438" s="1">
        <f t="shared" si="319"/>
        <v>-0.0193159944459273</v>
      </c>
      <c r="F438" s="1">
        <f t="shared" si="319"/>
        <v>1.7781903457236563</v>
      </c>
      <c r="G438" s="1">
        <f t="shared" si="319"/>
        <v>3.4456394494779063</v>
      </c>
      <c r="H438" s="1">
        <f t="shared" si="319"/>
        <v>4.874301141426917</v>
      </c>
      <c r="I438" s="1">
        <f t="shared" si="319"/>
        <v>5.971167241300097</v>
      </c>
      <c r="J438" s="1">
        <f t="shared" si="319"/>
        <v>6.662886689070117</v>
      </c>
      <c r="K438" s="1">
        <f t="shared" si="319"/>
        <v>6.901699476215856</v>
      </c>
      <c r="L438" s="1">
        <f t="shared" si="319"/>
        <v>6.669121664523796</v>
      </c>
      <c r="M438" s="1">
        <f t="shared" si="319"/>
        <v>5.9793745362262545</v>
      </c>
      <c r="N438" s="1">
        <f t="shared" si="319"/>
        <v>4.880189868194675</v>
      </c>
      <c r="O438" s="1">
        <f t="shared" si="319"/>
        <v>3.44828874991149</v>
      </c>
      <c r="P438" s="1">
        <f t="shared" si="319"/>
        <v>1.7821368737069379</v>
      </c>
      <c r="Q438" s="1">
        <f t="shared" si="319"/>
        <v>-0.004292536672770353</v>
      </c>
      <c r="R438" s="1">
        <f t="shared" si="319"/>
        <v>-1.7878927728910579</v>
      </c>
      <c r="S438" s="1">
        <f t="shared" si="319"/>
        <v>-3.445844501624822</v>
      </c>
      <c r="T438" s="1">
        <f t="shared" si="319"/>
        <v>-4.866250481455353</v>
      </c>
      <c r="U438" s="1">
        <f t="shared" si="319"/>
        <v>-5.955183003285074</v>
      </c>
      <c r="V438" s="1">
        <f t="shared" si="319"/>
        <v>-6.63968053889229</v>
      </c>
      <c r="W438" s="1">
        <f t="shared" si="319"/>
        <v>-6.87134912603678</v>
      </c>
      <c r="X438" s="1">
        <f t="shared" si="319"/>
        <v>-6.633088844057922</v>
      </c>
      <c r="Y438" s="1">
        <f t="shared" si="319"/>
        <v>-5.944943745963438</v>
      </c>
      <c r="Z438" s="1">
        <f t="shared" si="319"/>
        <v>-4.8627131992413</v>
      </c>
    </row>
    <row r="439" spans="1:26" ht="15.75">
      <c r="A439" s="75" t="s">
        <v>226</v>
      </c>
      <c r="B439" s="1">
        <f>B177</f>
        <v>-5.33300196963452</v>
      </c>
      <c r="C439" s="1">
        <f aca="true" t="shared" si="320" ref="C439:Z439">C177</f>
        <v>-7.0077878725437</v>
      </c>
      <c r="D439" s="1">
        <f t="shared" si="320"/>
        <v>-6.04964167024805</v>
      </c>
      <c r="E439" s="1">
        <f t="shared" si="320"/>
        <v>-4.524189417689518</v>
      </c>
      <c r="F439" s="1">
        <f t="shared" si="320"/>
        <v>-3.407211707499396</v>
      </c>
      <c r="G439" s="1">
        <f t="shared" si="320"/>
        <v>-2.6071403227294305</v>
      </c>
      <c r="H439" s="1">
        <f t="shared" si="320"/>
        <v>-2.0048850776180744</v>
      </c>
      <c r="I439" s="1">
        <f t="shared" si="320"/>
        <v>-1.5255341079830187</v>
      </c>
      <c r="J439" s="1">
        <f t="shared" si="320"/>
        <v>-1.0951158429758137</v>
      </c>
      <c r="K439" s="1">
        <f t="shared" si="320"/>
        <v>-0.6454386612781065</v>
      </c>
      <c r="L439" s="1">
        <f t="shared" si="320"/>
        <v>-0.12945371231027658</v>
      </c>
      <c r="M439" s="1">
        <f t="shared" si="320"/>
        <v>0.4722649072976849</v>
      </c>
      <c r="N439" s="1">
        <f t="shared" si="320"/>
        <v>1.158569854198079</v>
      </c>
      <c r="O439" s="1">
        <f t="shared" si="320"/>
        <v>1.9211477149848017</v>
      </c>
      <c r="P439" s="1">
        <f t="shared" si="320"/>
        <v>2.751075020879795</v>
      </c>
      <c r="Q439" s="1">
        <f t="shared" si="320"/>
        <v>3.629576597559218</v>
      </c>
      <c r="R439" s="1">
        <f t="shared" si="320"/>
        <v>4.504593543230678</v>
      </c>
      <c r="S439" s="1">
        <f t="shared" si="320"/>
        <v>5.265858755942877</v>
      </c>
      <c r="T439" s="1">
        <f t="shared" si="320"/>
        <v>5.7345433039046165</v>
      </c>
      <c r="U439" s="1">
        <f t="shared" si="320"/>
        <v>5.679734978063515</v>
      </c>
      <c r="V439" s="1">
        <f t="shared" si="320"/>
        <v>4.880561419774157</v>
      </c>
      <c r="W439" s="1">
        <f t="shared" si="320"/>
        <v>3.2548374804842575</v>
      </c>
      <c r="X439" s="1">
        <f t="shared" si="320"/>
        <v>0.9486393562990162</v>
      </c>
      <c r="Y439" s="1">
        <f t="shared" si="320"/>
        <v>-1.9629667265547859</v>
      </c>
      <c r="Z439" s="1">
        <f t="shared" si="320"/>
        <v>-5.316053651859981</v>
      </c>
    </row>
    <row r="440" spans="1:26" ht="15.75">
      <c r="A440" s="75" t="s">
        <v>227</v>
      </c>
      <c r="B440" s="1">
        <f>B198</f>
        <v>-2.7587903006114805</v>
      </c>
      <c r="C440" s="1">
        <f aca="true" t="shared" si="321" ref="C440:Z440">C198</f>
        <v>-3.209837643827916</v>
      </c>
      <c r="D440" s="1">
        <f t="shared" si="321"/>
        <v>-2.7200650093988563</v>
      </c>
      <c r="E440" s="1">
        <f t="shared" si="321"/>
        <v>-1.567971741522049</v>
      </c>
      <c r="F440" s="1">
        <f t="shared" si="321"/>
        <v>-0.4320454425185911</v>
      </c>
      <c r="G440" s="1">
        <f t="shared" si="321"/>
        <v>0.4141067977013816</v>
      </c>
      <c r="H440" s="1">
        <f t="shared" si="321"/>
        <v>0.9801011294318228</v>
      </c>
      <c r="I440" s="1">
        <f t="shared" si="321"/>
        <v>1.3338916804327798</v>
      </c>
      <c r="J440" s="1">
        <f t="shared" si="321"/>
        <v>1.531827132709978</v>
      </c>
      <c r="K440" s="1">
        <f t="shared" si="321"/>
        <v>1.612397256300625</v>
      </c>
      <c r="L440" s="1">
        <f t="shared" si="321"/>
        <v>1.602906918575464</v>
      </c>
      <c r="M440" s="1">
        <f t="shared" si="321"/>
        <v>1.5255866455784282</v>
      </c>
      <c r="N440" s="1">
        <f t="shared" si="321"/>
        <v>1.4001106521498057</v>
      </c>
      <c r="O440" s="1">
        <f t="shared" si="321"/>
        <v>1.2432074598332776</v>
      </c>
      <c r="P440" s="1">
        <f t="shared" si="321"/>
        <v>1.0673639806854305</v>
      </c>
      <c r="Q440" s="1">
        <f t="shared" si="321"/>
        <v>0.879968897306559</v>
      </c>
      <c r="R440" s="1">
        <f t="shared" si="321"/>
        <v>0.6830279176382061</v>
      </c>
      <c r="S440" s="1">
        <f t="shared" si="321"/>
        <v>0.4730121173918775</v>
      </c>
      <c r="T440" s="1">
        <f t="shared" si="321"/>
        <v>0.2405532837919333</v>
      </c>
      <c r="U440" s="1">
        <f t="shared" si="321"/>
        <v>-0.029712901835794992</v>
      </c>
      <c r="V440" s="1">
        <f t="shared" si="321"/>
        <v>-0.3579373297867337</v>
      </c>
      <c r="W440" s="1">
        <f t="shared" si="321"/>
        <v>-0.7652051584199597</v>
      </c>
      <c r="X440" s="1">
        <f t="shared" si="321"/>
        <v>-1.2742376651237342</v>
      </c>
      <c r="Y440" s="1">
        <f t="shared" si="321"/>
        <v>-1.9341761522876597</v>
      </c>
      <c r="Z440" s="1">
        <f t="shared" si="321"/>
        <v>-2.7403247528933394</v>
      </c>
    </row>
    <row r="441" spans="1:26" ht="15.75">
      <c r="A441" s="75" t="s">
        <v>228</v>
      </c>
      <c r="B441" s="1">
        <f>B242</f>
        <v>28.230766154128403</v>
      </c>
      <c r="C441" s="1">
        <f aca="true" t="shared" si="322" ref="C441:Z441">C242</f>
        <v>15.890116307505966</v>
      </c>
      <c r="D441" s="1">
        <f t="shared" si="322"/>
        <v>6.488901774194359</v>
      </c>
      <c r="E441" s="1">
        <f t="shared" si="322"/>
        <v>3.2290653601713863</v>
      </c>
      <c r="F441" s="1">
        <f t="shared" si="322"/>
        <v>1.1497597166148013</v>
      </c>
      <c r="G441" s="1">
        <f t="shared" si="322"/>
        <v>-1.4535309190886658</v>
      </c>
      <c r="H441" s="1">
        <f t="shared" si="322"/>
        <v>-4.34042159841051</v>
      </c>
      <c r="I441" s="1">
        <f t="shared" si="322"/>
        <v>-7.184400828046259</v>
      </c>
      <c r="J441" s="1">
        <f t="shared" si="322"/>
        <v>-9.737655800506744</v>
      </c>
      <c r="K441" s="1">
        <f t="shared" si="322"/>
        <v>-11.78028299454438</v>
      </c>
      <c r="L441" s="1">
        <f t="shared" si="322"/>
        <v>-13.142541240937657</v>
      </c>
      <c r="M441" s="1">
        <f t="shared" si="322"/>
        <v>-13.743690165587706</v>
      </c>
      <c r="N441" s="1">
        <f t="shared" si="322"/>
        <v>-13.609426476713871</v>
      </c>
      <c r="O441" s="1">
        <f t="shared" si="322"/>
        <v>-12.850261861203213</v>
      </c>
      <c r="P441" s="1">
        <f t="shared" si="322"/>
        <v>-11.608383685678277</v>
      </c>
      <c r="Q441" s="1">
        <f t="shared" si="322"/>
        <v>-10.003389662664302</v>
      </c>
      <c r="R441" s="1">
        <f t="shared" si="322"/>
        <v>-8.095891435619308</v>
      </c>
      <c r="S441" s="1">
        <f t="shared" si="322"/>
        <v>-5.8595246281647855</v>
      </c>
      <c r="T441" s="1">
        <f t="shared" si="322"/>
        <v>-3.1398412118498613</v>
      </c>
      <c r="U441" s="1">
        <f t="shared" si="322"/>
        <v>0.4145410176222645</v>
      </c>
      <c r="V441" s="1">
        <f t="shared" si="322"/>
        <v>5.433454691079852</v>
      </c>
      <c r="W441" s="1">
        <f t="shared" si="322"/>
        <v>12.747287152492692</v>
      </c>
      <c r="X441" s="1">
        <f t="shared" si="322"/>
        <v>22.39404918198927</v>
      </c>
      <c r="Y441" s="1">
        <f t="shared" si="322"/>
        <v>30.487340242535716</v>
      </c>
      <c r="Z441" s="1">
        <f t="shared" si="322"/>
        <v>28.315304256583538</v>
      </c>
    </row>
    <row r="442" spans="1:26" ht="15.75">
      <c r="A442" s="75" t="s">
        <v>229</v>
      </c>
      <c r="B442" s="1">
        <f>B262</f>
        <v>0</v>
      </c>
      <c r="C442" s="1">
        <f aca="true" t="shared" si="323" ref="C442:Z442">C262</f>
        <v>0</v>
      </c>
      <c r="D442" s="1">
        <f t="shared" si="323"/>
        <v>0</v>
      </c>
      <c r="E442" s="1">
        <f t="shared" si="323"/>
        <v>0</v>
      </c>
      <c r="F442" s="1">
        <f t="shared" si="323"/>
        <v>0</v>
      </c>
      <c r="G442" s="1">
        <f t="shared" si="323"/>
        <v>0</v>
      </c>
      <c r="H442" s="1">
        <f t="shared" si="323"/>
        <v>0</v>
      </c>
      <c r="I442" s="1">
        <f t="shared" si="323"/>
        <v>0</v>
      </c>
      <c r="J442" s="1">
        <f t="shared" si="323"/>
        <v>0</v>
      </c>
      <c r="K442" s="1">
        <f t="shared" si="323"/>
        <v>0</v>
      </c>
      <c r="L442" s="1">
        <f t="shared" si="323"/>
        <v>0</v>
      </c>
      <c r="M442" s="1">
        <f t="shared" si="323"/>
        <v>0</v>
      </c>
      <c r="N442" s="1">
        <f t="shared" si="323"/>
        <v>0</v>
      </c>
      <c r="O442" s="1">
        <f t="shared" si="323"/>
        <v>0</v>
      </c>
      <c r="P442" s="1">
        <f t="shared" si="323"/>
        <v>0</v>
      </c>
      <c r="Q442" s="1">
        <f t="shared" si="323"/>
        <v>0</v>
      </c>
      <c r="R442" s="1">
        <f t="shared" si="323"/>
        <v>0</v>
      </c>
      <c r="S442" s="1">
        <f t="shared" si="323"/>
        <v>0</v>
      </c>
      <c r="T442" s="1">
        <f t="shared" si="323"/>
        <v>0</v>
      </c>
      <c r="U442" s="1">
        <f t="shared" si="323"/>
        <v>0</v>
      </c>
      <c r="V442" s="1">
        <f t="shared" si="323"/>
        <v>0</v>
      </c>
      <c r="W442" s="1">
        <f t="shared" si="323"/>
        <v>0</v>
      </c>
      <c r="X442" s="1">
        <f t="shared" si="323"/>
        <v>0</v>
      </c>
      <c r="Y442" s="1">
        <f t="shared" si="323"/>
        <v>0</v>
      </c>
      <c r="Z442" s="1">
        <f t="shared" si="323"/>
        <v>0</v>
      </c>
    </row>
    <row r="443" spans="1:26" ht="15.75">
      <c r="A443" s="75" t="s">
        <v>231</v>
      </c>
      <c r="B443" s="1">
        <f>B277</f>
        <v>-8.945093448276143</v>
      </c>
      <c r="C443" s="1">
        <f aca="true" t="shared" si="324" ref="C443:Z443">C277</f>
        <v>-11.917928191126633</v>
      </c>
      <c r="D443" s="1">
        <f t="shared" si="324"/>
        <v>-8.816379067640842</v>
      </c>
      <c r="E443" s="1">
        <f t="shared" si="324"/>
        <v>-3.4795783538218172</v>
      </c>
      <c r="F443" s="1">
        <f t="shared" si="324"/>
        <v>-0.5223336339178017</v>
      </c>
      <c r="G443" s="1">
        <f t="shared" si="324"/>
        <v>0.3688275643891091</v>
      </c>
      <c r="H443" s="1">
        <f t="shared" si="324"/>
        <v>1.4462152653445097</v>
      </c>
      <c r="I443" s="1">
        <f t="shared" si="324"/>
        <v>3.281899776644188</v>
      </c>
      <c r="J443" s="1">
        <f t="shared" si="324"/>
        <v>4.793875828259104</v>
      </c>
      <c r="K443" s="1">
        <f t="shared" si="324"/>
        <v>5.170560711944194</v>
      </c>
      <c r="L443" s="1">
        <f t="shared" si="324"/>
        <v>4.797179902640648</v>
      </c>
      <c r="M443" s="1">
        <f t="shared" si="324"/>
        <v>4.476764974747184</v>
      </c>
      <c r="N443" s="1">
        <f t="shared" si="324"/>
        <v>4.361589826746631</v>
      </c>
      <c r="O443" s="1">
        <f t="shared" si="324"/>
        <v>3.986809032628615</v>
      </c>
      <c r="P443" s="1">
        <f t="shared" si="324"/>
        <v>3.144402992889569</v>
      </c>
      <c r="Q443" s="1">
        <f t="shared" si="324"/>
        <v>2.2885869835666917</v>
      </c>
      <c r="R443" s="1">
        <f t="shared" si="324"/>
        <v>1.9308413257252985</v>
      </c>
      <c r="S443" s="1">
        <f t="shared" si="324"/>
        <v>1.8641504684353294</v>
      </c>
      <c r="T443" s="1">
        <f t="shared" si="324"/>
        <v>1.2894918665285986</v>
      </c>
      <c r="U443" s="1">
        <f t="shared" si="324"/>
        <v>-0.1759651207376104</v>
      </c>
      <c r="V443" s="1">
        <f t="shared" si="324"/>
        <v>-1.7646996875757608</v>
      </c>
      <c r="W443" s="1">
        <f t="shared" si="324"/>
        <v>-2.27151232297569</v>
      </c>
      <c r="X443" s="1">
        <f t="shared" si="324"/>
        <v>-2.069929617721434</v>
      </c>
      <c r="Y443" s="1">
        <f t="shared" si="324"/>
        <v>-3.9227588124240147</v>
      </c>
      <c r="Z443" s="1">
        <f t="shared" si="324"/>
        <v>-8.913884806548234</v>
      </c>
    </row>
    <row r="444" ht="15.75">
      <c r="A444" s="75"/>
    </row>
    <row r="445" spans="1:26" ht="15.75">
      <c r="A445" s="75" t="s">
        <v>230</v>
      </c>
      <c r="B445" s="1">
        <f>B381</f>
        <v>6.28888043560626</v>
      </c>
      <c r="C445" s="1">
        <f aca="true" t="shared" si="325" ref="C445:Z445">C381</f>
        <v>-9.704362841058888</v>
      </c>
      <c r="D445" s="1">
        <f t="shared" si="325"/>
        <v>-12.910075005969347</v>
      </c>
      <c r="E445" s="1">
        <f t="shared" si="325"/>
        <v>-6.361990147307925</v>
      </c>
      <c r="F445" s="1">
        <f t="shared" si="325"/>
        <v>-1.4336407215973315</v>
      </c>
      <c r="G445" s="1">
        <f t="shared" si="325"/>
        <v>0.16790256975030038</v>
      </c>
      <c r="H445" s="1">
        <f t="shared" si="325"/>
        <v>0.955310860174665</v>
      </c>
      <c r="I445" s="1">
        <f t="shared" si="325"/>
        <v>1.8770237623477857</v>
      </c>
      <c r="J445" s="1">
        <f t="shared" si="325"/>
        <v>2.1558180065566424</v>
      </c>
      <c r="K445" s="1">
        <f t="shared" si="325"/>
        <v>1.2589357886381911</v>
      </c>
      <c r="L445" s="1">
        <f t="shared" si="325"/>
        <v>-0.20278646750802204</v>
      </c>
      <c r="M445" s="1">
        <f t="shared" si="325"/>
        <v>-1.2896991017381518</v>
      </c>
      <c r="N445" s="1">
        <f t="shared" si="325"/>
        <v>-1.8089662754246825</v>
      </c>
      <c r="O445" s="1">
        <f t="shared" si="325"/>
        <v>-2.2508089038450336</v>
      </c>
      <c r="P445" s="1">
        <f t="shared" si="325"/>
        <v>-2.863404817516544</v>
      </c>
      <c r="Q445" s="1">
        <f t="shared" si="325"/>
        <v>-3.209549720904602</v>
      </c>
      <c r="R445" s="1">
        <f t="shared" si="325"/>
        <v>-2.765321421916183</v>
      </c>
      <c r="S445" s="1">
        <f t="shared" si="325"/>
        <v>-1.7023477880195248</v>
      </c>
      <c r="T445" s="1">
        <f t="shared" si="325"/>
        <v>-0.7415032390800652</v>
      </c>
      <c r="U445" s="1">
        <f t="shared" si="325"/>
        <v>-0.06658503017270033</v>
      </c>
      <c r="V445" s="1">
        <f t="shared" si="325"/>
        <v>1.5516985545992241</v>
      </c>
      <c r="W445" s="1">
        <f t="shared" si="325"/>
        <v>6.094058025544513</v>
      </c>
      <c r="X445" s="1">
        <f t="shared" si="325"/>
        <v>13.365432411385191</v>
      </c>
      <c r="Y445" s="1">
        <f t="shared" si="325"/>
        <v>16.722494805305818</v>
      </c>
      <c r="Z445" s="1">
        <f t="shared" si="325"/>
        <v>6.482327846040688</v>
      </c>
    </row>
    <row r="446" spans="1:26" ht="18" customHeight="1">
      <c r="A446" s="75" t="s">
        <v>54</v>
      </c>
      <c r="B446" s="1">
        <f>B373</f>
        <v>11.193880435606259</v>
      </c>
      <c r="C446" s="1">
        <f aca="true" t="shared" si="326" ref="C446:Z446">C373</f>
        <v>-6.245437399992282</v>
      </c>
      <c r="D446" s="1">
        <f t="shared" si="326"/>
        <v>-11.097183973093388</v>
      </c>
      <c r="E446" s="1">
        <f t="shared" si="326"/>
        <v>-6.342674152861997</v>
      </c>
      <c r="F446" s="1">
        <f t="shared" si="326"/>
        <v>-3.211831067320988</v>
      </c>
      <c r="G446" s="1">
        <f t="shared" si="326"/>
        <v>-3.2777368797276063</v>
      </c>
      <c r="H446" s="1">
        <f t="shared" si="326"/>
        <v>-3.9189902812522526</v>
      </c>
      <c r="I446" s="1">
        <f t="shared" si="326"/>
        <v>-4.094143478952312</v>
      </c>
      <c r="J446" s="1">
        <f t="shared" si="326"/>
        <v>-4.507068682513474</v>
      </c>
      <c r="K446" s="1">
        <f t="shared" si="326"/>
        <v>-5.642763687577667</v>
      </c>
      <c r="L446" s="1">
        <f t="shared" si="326"/>
        <v>-6.871908132031818</v>
      </c>
      <c r="M446" s="1">
        <f t="shared" si="326"/>
        <v>-7.269073637964406</v>
      </c>
      <c r="N446" s="1">
        <f t="shared" si="326"/>
        <v>-6.689156143619359</v>
      </c>
      <c r="O446" s="1">
        <f t="shared" si="326"/>
        <v>-5.699097653756522</v>
      </c>
      <c r="P446" s="1">
        <f t="shared" si="326"/>
        <v>-4.645541691223481</v>
      </c>
      <c r="Q446" s="1">
        <f t="shared" si="326"/>
        <v>-3.205257184231831</v>
      </c>
      <c r="R446" s="1">
        <f t="shared" si="326"/>
        <v>-0.9774286490251254</v>
      </c>
      <c r="S446" s="1">
        <f t="shared" si="326"/>
        <v>1.743496713605297</v>
      </c>
      <c r="T446" s="1">
        <f t="shared" si="326"/>
        <v>4.124747242375288</v>
      </c>
      <c r="U446" s="1">
        <f t="shared" si="326"/>
        <v>5.888597973112374</v>
      </c>
      <c r="V446" s="1">
        <f t="shared" si="326"/>
        <v>8.191379093491514</v>
      </c>
      <c r="W446" s="1">
        <f t="shared" si="326"/>
        <v>12.965407151581298</v>
      </c>
      <c r="X446" s="1">
        <f t="shared" si="326"/>
        <v>19.998521255443116</v>
      </c>
      <c r="Y446" s="1">
        <f t="shared" si="326"/>
        <v>22.66743855126926</v>
      </c>
      <c r="Z446" s="1">
        <f t="shared" si="326"/>
        <v>11.345041045281988</v>
      </c>
    </row>
    <row r="447" spans="1:26" ht="15.75">
      <c r="A447" s="75" t="s">
        <v>55</v>
      </c>
      <c r="B447" s="1">
        <f>B342</f>
        <v>16.52688240524078</v>
      </c>
      <c r="C447" s="1">
        <f aca="true" t="shared" si="327" ref="C447:Z447">C342</f>
        <v>0.7623504725514199</v>
      </c>
      <c r="D447" s="1">
        <f t="shared" si="327"/>
        <v>-5.047542302845338</v>
      </c>
      <c r="E447" s="1">
        <f t="shared" si="327"/>
        <v>-1.8184847351724795</v>
      </c>
      <c r="F447" s="1">
        <f t="shared" si="327"/>
        <v>0.19538064017840817</v>
      </c>
      <c r="G447" s="1">
        <f t="shared" si="327"/>
        <v>-0.6705965569981758</v>
      </c>
      <c r="H447" s="1">
        <f t="shared" si="327"/>
        <v>-1.9141052036341781</v>
      </c>
      <c r="I447" s="1">
        <f t="shared" si="327"/>
        <v>-2.568609370969293</v>
      </c>
      <c r="J447" s="1">
        <f t="shared" si="327"/>
        <v>-3.41195283953766</v>
      </c>
      <c r="K447" s="1">
        <f t="shared" si="327"/>
        <v>-4.997325026299561</v>
      </c>
      <c r="L447" s="1">
        <f t="shared" si="327"/>
        <v>-6.742454419721541</v>
      </c>
      <c r="M447" s="1">
        <f t="shared" si="327"/>
        <v>-7.741338545262091</v>
      </c>
      <c r="N447" s="1">
        <f t="shared" si="327"/>
        <v>-7.847725997817439</v>
      </c>
      <c r="O447" s="1">
        <f t="shared" si="327"/>
        <v>-7.6202453687413225</v>
      </c>
      <c r="P447" s="1">
        <f t="shared" si="327"/>
        <v>-7.396616712103276</v>
      </c>
      <c r="Q447" s="1">
        <f t="shared" si="327"/>
        <v>-6.834833781791049</v>
      </c>
      <c r="R447" s="1">
        <f t="shared" si="327"/>
        <v>-5.482022192255805</v>
      </c>
      <c r="S447" s="1">
        <f t="shared" si="327"/>
        <v>-3.5223620423375785</v>
      </c>
      <c r="T447" s="1">
        <f t="shared" si="327"/>
        <v>-1.6097960615293292</v>
      </c>
      <c r="U447" s="1">
        <f t="shared" si="327"/>
        <v>0.20886299504885888</v>
      </c>
      <c r="V447" s="1">
        <f t="shared" si="327"/>
        <v>3.310817673717358</v>
      </c>
      <c r="W447" s="1">
        <f t="shared" si="327"/>
        <v>9.710569671097039</v>
      </c>
      <c r="X447" s="1">
        <f t="shared" si="327"/>
        <v>19.0498818991441</v>
      </c>
      <c r="Y447" s="1">
        <f t="shared" si="327"/>
        <v>24.630405277824046</v>
      </c>
      <c r="Z447" s="1">
        <f t="shared" si="327"/>
        <v>16.661094697141966</v>
      </c>
    </row>
    <row r="448" spans="1:26" ht="15.75">
      <c r="A448" s="75" t="s">
        <v>56</v>
      </c>
      <c r="B448" s="1">
        <f>B303</f>
        <v>19.28567270585226</v>
      </c>
      <c r="C448" s="1">
        <f aca="true" t="shared" si="328" ref="C448:Z448">C303</f>
        <v>3.9721881163793356</v>
      </c>
      <c r="D448" s="1">
        <f t="shared" si="328"/>
        <v>-2.3274772934464814</v>
      </c>
      <c r="E448" s="1">
        <f t="shared" si="328"/>
        <v>-0.25051299365043</v>
      </c>
      <c r="F448" s="1">
        <f t="shared" si="328"/>
        <v>0.6274260826969994</v>
      </c>
      <c r="G448" s="1">
        <f t="shared" si="328"/>
        <v>-1.0847033546995573</v>
      </c>
      <c r="H448" s="1">
        <f t="shared" si="328"/>
        <v>-2.894206333066001</v>
      </c>
      <c r="I448" s="1">
        <f t="shared" si="328"/>
        <v>-3.9025010514020724</v>
      </c>
      <c r="J448" s="1">
        <f t="shared" si="328"/>
        <v>-4.943779972247636</v>
      </c>
      <c r="K448" s="1">
        <f t="shared" si="328"/>
        <v>-6.609722282600188</v>
      </c>
      <c r="L448" s="1">
        <f t="shared" si="328"/>
        <v>-8.345361338297007</v>
      </c>
      <c r="M448" s="1">
        <f t="shared" si="328"/>
        <v>-9.26692519084052</v>
      </c>
      <c r="N448" s="1">
        <f t="shared" si="328"/>
        <v>-9.247836649967244</v>
      </c>
      <c r="O448" s="1">
        <f t="shared" si="328"/>
        <v>-8.8634528285746</v>
      </c>
      <c r="P448" s="1">
        <f t="shared" si="328"/>
        <v>-8.463980692788706</v>
      </c>
      <c r="Q448" s="1">
        <f t="shared" si="328"/>
        <v>-7.714802679097609</v>
      </c>
      <c r="R448" s="1">
        <f t="shared" si="328"/>
        <v>-6.165050109894009</v>
      </c>
      <c r="S448" s="1">
        <f t="shared" si="328"/>
        <v>-3.9953741597294554</v>
      </c>
      <c r="T448" s="1">
        <f t="shared" si="328"/>
        <v>-1.8503493453212627</v>
      </c>
      <c r="U448" s="1">
        <f t="shared" si="328"/>
        <v>0.23857589688465392</v>
      </c>
      <c r="V448" s="1">
        <f t="shared" si="328"/>
        <v>3.668755003504092</v>
      </c>
      <c r="W448" s="1">
        <f t="shared" si="328"/>
        <v>10.475774829516999</v>
      </c>
      <c r="X448" s="1">
        <f t="shared" si="328"/>
        <v>20.324119564267836</v>
      </c>
      <c r="Y448" s="1">
        <f t="shared" si="328"/>
        <v>26.56458143011171</v>
      </c>
      <c r="Z448" s="1">
        <f t="shared" si="328"/>
        <v>19.401419450035306</v>
      </c>
    </row>
    <row r="449" spans="1:26" ht="15.75">
      <c r="A449" s="75" t="s">
        <v>57</v>
      </c>
      <c r="B449" s="1">
        <f>B288</f>
        <v>-8.945093448276143</v>
      </c>
      <c r="C449" s="1">
        <f aca="true" t="shared" si="329" ref="C449:Z449">C288</f>
        <v>-11.917928191126633</v>
      </c>
      <c r="D449" s="1">
        <f t="shared" si="329"/>
        <v>-8.816379067640842</v>
      </c>
      <c r="E449" s="1">
        <f t="shared" si="329"/>
        <v>-3.4795783538218172</v>
      </c>
      <c r="F449" s="1">
        <f t="shared" si="329"/>
        <v>-0.5223336339178017</v>
      </c>
      <c r="G449" s="1">
        <f t="shared" si="329"/>
        <v>0.3688275643891091</v>
      </c>
      <c r="H449" s="1">
        <f t="shared" si="329"/>
        <v>1.4462152653445097</v>
      </c>
      <c r="I449" s="1">
        <f t="shared" si="329"/>
        <v>3.281899776644188</v>
      </c>
      <c r="J449" s="1">
        <f t="shared" si="329"/>
        <v>4.793875828259104</v>
      </c>
      <c r="K449" s="1">
        <f t="shared" si="329"/>
        <v>5.170560711944194</v>
      </c>
      <c r="L449" s="1">
        <f t="shared" si="329"/>
        <v>4.797179902640648</v>
      </c>
      <c r="M449" s="1">
        <f t="shared" si="329"/>
        <v>4.476764974747184</v>
      </c>
      <c r="N449" s="1">
        <f t="shared" si="329"/>
        <v>4.361589826746631</v>
      </c>
      <c r="O449" s="1">
        <f t="shared" si="329"/>
        <v>3.986809032628615</v>
      </c>
      <c r="P449" s="1">
        <f t="shared" si="329"/>
        <v>3.144402992889569</v>
      </c>
      <c r="Q449" s="1">
        <f t="shared" si="329"/>
        <v>2.2885869835666917</v>
      </c>
      <c r="R449" s="1">
        <f t="shared" si="329"/>
        <v>1.9308413257252985</v>
      </c>
      <c r="S449" s="1">
        <f t="shared" si="329"/>
        <v>1.8641504684353294</v>
      </c>
      <c r="T449" s="1">
        <f t="shared" si="329"/>
        <v>1.2894918665285986</v>
      </c>
      <c r="U449" s="1">
        <f t="shared" si="329"/>
        <v>-0.1759651207376104</v>
      </c>
      <c r="V449" s="1">
        <f t="shared" si="329"/>
        <v>-1.7646996875757608</v>
      </c>
      <c r="W449" s="1">
        <f t="shared" si="329"/>
        <v>-2.27151232297569</v>
      </c>
      <c r="X449" s="1">
        <f t="shared" si="329"/>
        <v>-2.069929617721434</v>
      </c>
      <c r="Y449" s="1">
        <f t="shared" si="329"/>
        <v>-3.9227588124240147</v>
      </c>
      <c r="Z449" s="1">
        <f t="shared" si="329"/>
        <v>-8.913884806548234</v>
      </c>
    </row>
    <row r="450" ht="15.75">
      <c r="A450" s="75"/>
    </row>
    <row r="451" ht="15.75">
      <c r="A451" s="75"/>
    </row>
    <row r="452" spans="1:26" ht="15.75">
      <c r="A452" s="149" t="s">
        <v>234</v>
      </c>
      <c r="B452" s="1">
        <f>B157</f>
        <v>0.75</v>
      </c>
      <c r="C452" s="1">
        <f aca="true" t="shared" si="330" ref="C452:Z452">C157</f>
        <v>0.75</v>
      </c>
      <c r="D452" s="1">
        <f t="shared" si="330"/>
        <v>0.7524716706085546</v>
      </c>
      <c r="E452" s="1">
        <f t="shared" si="330"/>
        <v>0.7486593428524253</v>
      </c>
      <c r="F452" s="1">
        <f t="shared" si="330"/>
        <v>0.7436192508252062</v>
      </c>
      <c r="G452" s="1">
        <f t="shared" si="330"/>
        <v>0.7411291866001112</v>
      </c>
      <c r="H452" s="1">
        <f t="shared" si="330"/>
        <v>0.7405648418607435</v>
      </c>
      <c r="I452" s="1">
        <f t="shared" si="330"/>
        <v>0.740631146697394</v>
      </c>
      <c r="J452" s="1">
        <f t="shared" si="330"/>
        <v>0.7410087436423007</v>
      </c>
      <c r="K452" s="1">
        <f t="shared" si="330"/>
        <v>0.7417508714056302</v>
      </c>
      <c r="L452" s="1">
        <f t="shared" si="330"/>
        <v>0.7426032509633773</v>
      </c>
      <c r="M452" s="1">
        <f t="shared" si="330"/>
        <v>0.7431007441916011</v>
      </c>
      <c r="N452" s="1">
        <f t="shared" si="330"/>
        <v>0.743020689868034</v>
      </c>
      <c r="O452" s="1">
        <f t="shared" si="330"/>
        <v>0.7425119950423189</v>
      </c>
      <c r="P452" s="1">
        <f t="shared" si="330"/>
        <v>0.7417987028355613</v>
      </c>
      <c r="Q452" s="1">
        <f t="shared" si="330"/>
        <v>0.7409110590352858</v>
      </c>
      <c r="R452" s="1">
        <f t="shared" si="330"/>
        <v>0.7397815112241398</v>
      </c>
      <c r="S452" s="1">
        <f t="shared" si="330"/>
        <v>0.7385149264131126</v>
      </c>
      <c r="T452" s="1">
        <f t="shared" si="330"/>
        <v>0.7374228534393135</v>
      </c>
      <c r="U452" s="1">
        <f t="shared" si="330"/>
        <v>0.7367498168123929</v>
      </c>
      <c r="V452" s="1">
        <f t="shared" si="330"/>
        <v>0.7364563197648248</v>
      </c>
      <c r="W452" s="1">
        <f t="shared" si="330"/>
        <v>0.7364299432937988</v>
      </c>
      <c r="X452" s="1">
        <f t="shared" si="330"/>
        <v>0.7370449887978835</v>
      </c>
      <c r="Y452" s="1">
        <f t="shared" si="330"/>
        <v>0.7394630563497704</v>
      </c>
      <c r="Z452" s="1">
        <f t="shared" si="330"/>
        <v>0.7447757617386324</v>
      </c>
    </row>
    <row r="453" spans="1:26" ht="15.75">
      <c r="A453" s="149" t="s">
        <v>235</v>
      </c>
      <c r="B453" s="1">
        <f>B179</f>
        <v>0.8126821523757923</v>
      </c>
      <c r="C453" s="1">
        <f aca="true" t="shared" si="331" ref="C453:Z453">C179</f>
        <v>1.4454369624077696</v>
      </c>
      <c r="D453" s="1">
        <f t="shared" si="331"/>
        <v>1.585092718033248</v>
      </c>
      <c r="E453" s="1">
        <f t="shared" si="331"/>
        <v>1.3214673282037253</v>
      </c>
      <c r="F453" s="1">
        <f t="shared" si="331"/>
        <v>0.9611041017297238</v>
      </c>
      <c r="G453" s="1">
        <f t="shared" si="331"/>
        <v>0.646479860096965</v>
      </c>
      <c r="H453" s="1">
        <f t="shared" si="331"/>
        <v>0.40042667125447295</v>
      </c>
      <c r="I453" s="1">
        <f t="shared" si="331"/>
        <v>0.21723418974157122</v>
      </c>
      <c r="J453" s="1">
        <f t="shared" si="331"/>
        <v>0.09224482154552113</v>
      </c>
      <c r="K453" s="1">
        <f t="shared" si="331"/>
        <v>0.02470263464159732</v>
      </c>
      <c r="L453" s="1">
        <f t="shared" si="331"/>
        <v>0.015301378594146153</v>
      </c>
      <c r="M453" s="1">
        <f t="shared" si="331"/>
        <v>0.06306127524811632</v>
      </c>
      <c r="N453" s="1">
        <f t="shared" si="331"/>
        <v>0.16253222864281444</v>
      </c>
      <c r="O453" s="1">
        <f t="shared" si="331"/>
        <v>0.302357419680872</v>
      </c>
      <c r="P453" s="1">
        <f t="shared" si="331"/>
        <v>0.46544713111550107</v>
      </c>
      <c r="Q453" s="1">
        <f t="shared" si="331"/>
        <v>0.6300905800566163</v>
      </c>
      <c r="R453" s="1">
        <f t="shared" si="331"/>
        <v>0.7714037507510259</v>
      </c>
      <c r="S453" s="1">
        <f t="shared" si="331"/>
        <v>0.8626966657305774</v>
      </c>
      <c r="T453" s="1">
        <f t="shared" si="331"/>
        <v>0.8763823059733991</v>
      </c>
      <c r="U453" s="1">
        <f t="shared" si="331"/>
        <v>0.7859968261593778</v>
      </c>
      <c r="V453" s="1">
        <f t="shared" si="331"/>
        <v>0.5767613994391116</v>
      </c>
      <c r="W453" s="1">
        <f t="shared" si="331"/>
        <v>0.2811473984858176</v>
      </c>
      <c r="X453" s="1">
        <f t="shared" si="331"/>
        <v>0.051595203929067086</v>
      </c>
      <c r="Y453" s="1">
        <f t="shared" si="331"/>
        <v>0.18433871683474753</v>
      </c>
      <c r="Z453" s="1">
        <f t="shared" si="331"/>
        <v>0.8070212921160944</v>
      </c>
    </row>
    <row r="454" spans="1:26" ht="15.75">
      <c r="A454" s="149" t="s">
        <v>236</v>
      </c>
      <c r="B454" s="1">
        <f>B222</f>
        <v>0.30530960157048515</v>
      </c>
      <c r="C454" s="1">
        <f aca="true" t="shared" si="332" ref="C454:Z454">C222</f>
        <v>0.2895993535350381</v>
      </c>
      <c r="D454" s="1">
        <f t="shared" si="332"/>
        <v>0.17088045446356276</v>
      </c>
      <c r="E454" s="1">
        <f t="shared" si="332"/>
        <v>0.056056709778935794</v>
      </c>
      <c r="F454" s="1">
        <f t="shared" si="332"/>
        <v>0.004592456590987426</v>
      </c>
      <c r="G454" s="1">
        <f t="shared" si="332"/>
        <v>0.004618733860387435</v>
      </c>
      <c r="H454" s="1">
        <f t="shared" si="332"/>
        <v>0.027919767218617973</v>
      </c>
      <c r="I454" s="1">
        <f t="shared" si="332"/>
        <v>0.054794506022284445</v>
      </c>
      <c r="J454" s="1">
        <f t="shared" si="332"/>
        <v>0.07557569137013626</v>
      </c>
      <c r="K454" s="1">
        <f t="shared" si="332"/>
        <v>0.08704628963772167</v>
      </c>
      <c r="L454" s="1">
        <f t="shared" si="332"/>
        <v>0.08934866830334327</v>
      </c>
      <c r="M454" s="1">
        <f t="shared" si="332"/>
        <v>0.08418613000985938</v>
      </c>
      <c r="N454" s="1">
        <f t="shared" si="332"/>
        <v>0.07387643384446954</v>
      </c>
      <c r="O454" s="1">
        <f t="shared" si="332"/>
        <v>0.06074490685341808</v>
      </c>
      <c r="P454" s="1">
        <f t="shared" si="332"/>
        <v>0.04670721182939803</v>
      </c>
      <c r="Q454" s="1">
        <f t="shared" si="332"/>
        <v>0.03310458166370439</v>
      </c>
      <c r="R454" s="1">
        <f t="shared" si="332"/>
        <v>0.02079082450667002</v>
      </c>
      <c r="S454" s="1">
        <f t="shared" si="332"/>
        <v>0.010399949797157835</v>
      </c>
      <c r="T454" s="1">
        <f t="shared" si="332"/>
        <v>0.0028134664089212117</v>
      </c>
      <c r="U454" s="1">
        <f t="shared" si="332"/>
        <v>4.519500219657412E-05</v>
      </c>
      <c r="V454" s="1">
        <f t="shared" si="332"/>
        <v>0.006977780387039479</v>
      </c>
      <c r="W454" s="1">
        <f t="shared" si="332"/>
        <v>0.034166273411711065</v>
      </c>
      <c r="X454" s="1">
        <f t="shared" si="332"/>
        <v>0.09851673632190203</v>
      </c>
      <c r="Y454" s="1">
        <f t="shared" si="332"/>
        <v>0.20604796646805368</v>
      </c>
      <c r="Z454" s="1">
        <f t="shared" si="332"/>
        <v>0.3031829214343683</v>
      </c>
    </row>
    <row r="455" spans="1:26" ht="15.75">
      <c r="A455" s="149" t="s">
        <v>237</v>
      </c>
      <c r="B455" s="1">
        <f>B244</f>
        <v>6.022727015556669</v>
      </c>
      <c r="C455" s="1">
        <f aca="true" t="shared" si="333" ref="C455:Z455">C244</f>
        <v>5.378836002772569</v>
      </c>
      <c r="D455" s="1">
        <f t="shared" si="333"/>
        <v>2.9524150048387416</v>
      </c>
      <c r="E455" s="1">
        <f t="shared" si="333"/>
        <v>0.9053699480193607</v>
      </c>
      <c r="F455" s="1">
        <f t="shared" si="333"/>
        <v>0.07141584434606774</v>
      </c>
      <c r="G455" s="1">
        <f t="shared" si="333"/>
        <v>0.07188685621522291</v>
      </c>
      <c r="H455" s="1">
        <f t="shared" si="333"/>
        <v>0.4481410885544385</v>
      </c>
      <c r="I455" s="1">
        <f t="shared" si="333"/>
        <v>0.9202942483736998</v>
      </c>
      <c r="J455" s="1">
        <f t="shared" si="333"/>
        <v>1.330771296990483</v>
      </c>
      <c r="K455" s="1">
        <f t="shared" si="333"/>
        <v>1.5993247145998442</v>
      </c>
      <c r="L455" s="1">
        <f t="shared" si="333"/>
        <v>1.7018828587796335</v>
      </c>
      <c r="M455" s="1">
        <f t="shared" si="333"/>
        <v>1.6536077794412203</v>
      </c>
      <c r="N455" s="1">
        <f t="shared" si="333"/>
        <v>1.4916040505694086</v>
      </c>
      <c r="O455" s="1">
        <f t="shared" si="333"/>
        <v>1.2588479935135113</v>
      </c>
      <c r="P455" s="1">
        <f t="shared" si="333"/>
        <v>0.9927995412181713</v>
      </c>
      <c r="Q455" s="1">
        <f t="shared" si="333"/>
        <v>0.7210482916304493</v>
      </c>
      <c r="R455" s="1">
        <f t="shared" si="333"/>
        <v>0.4630697438610491</v>
      </c>
      <c r="S455" s="1">
        <f t="shared" si="333"/>
        <v>0.2359674942268581</v>
      </c>
      <c r="T455" s="1">
        <f t="shared" si="333"/>
        <v>0.06464125195841529</v>
      </c>
      <c r="U455" s="1">
        <f t="shared" si="333"/>
        <v>0.001042579214870711</v>
      </c>
      <c r="V455" s="1">
        <f t="shared" si="333"/>
        <v>0.1598182346515409</v>
      </c>
      <c r="W455" s="1">
        <f t="shared" si="333"/>
        <v>0.7666296084912052</v>
      </c>
      <c r="X455" s="1">
        <f t="shared" si="333"/>
        <v>2.1364509758136148</v>
      </c>
      <c r="Y455" s="1">
        <f t="shared" si="333"/>
        <v>4.275130091603107</v>
      </c>
      <c r="Z455" s="1">
        <f t="shared" si="333"/>
        <v>5.980774801006736</v>
      </c>
    </row>
    <row r="456" spans="1:26" ht="15.75">
      <c r="A456" s="149" t="s">
        <v>238</v>
      </c>
      <c r="B456" s="1">
        <f>B264</f>
        <v>0</v>
      </c>
      <c r="C456" s="1">
        <f aca="true" t="shared" si="334" ref="C456:Z456">C264</f>
        <v>0</v>
      </c>
      <c r="D456" s="1">
        <f t="shared" si="334"/>
        <v>0</v>
      </c>
      <c r="E456" s="1">
        <f t="shared" si="334"/>
        <v>0</v>
      </c>
      <c r="F456" s="1">
        <f t="shared" si="334"/>
        <v>0</v>
      </c>
      <c r="G456" s="1">
        <f t="shared" si="334"/>
        <v>0</v>
      </c>
      <c r="H456" s="1">
        <f t="shared" si="334"/>
        <v>0</v>
      </c>
      <c r="I456" s="1">
        <f t="shared" si="334"/>
        <v>0</v>
      </c>
      <c r="J456" s="1">
        <f t="shared" si="334"/>
        <v>0</v>
      </c>
      <c r="K456" s="1">
        <f t="shared" si="334"/>
        <v>0</v>
      </c>
      <c r="L456" s="1">
        <f t="shared" si="334"/>
        <v>0</v>
      </c>
      <c r="M456" s="1">
        <f t="shared" si="334"/>
        <v>0</v>
      </c>
      <c r="N456" s="1">
        <f t="shared" si="334"/>
        <v>0</v>
      </c>
      <c r="O456" s="1">
        <f t="shared" si="334"/>
        <v>0</v>
      </c>
      <c r="P456" s="1">
        <f t="shared" si="334"/>
        <v>0</v>
      </c>
      <c r="Q456" s="1">
        <f t="shared" si="334"/>
        <v>0</v>
      </c>
      <c r="R456" s="1">
        <f t="shared" si="334"/>
        <v>0</v>
      </c>
      <c r="S456" s="1">
        <f t="shared" si="334"/>
        <v>0</v>
      </c>
      <c r="T456" s="1">
        <f t="shared" si="334"/>
        <v>0</v>
      </c>
      <c r="U456" s="1">
        <f t="shared" si="334"/>
        <v>0</v>
      </c>
      <c r="V456" s="1">
        <f t="shared" si="334"/>
        <v>0</v>
      </c>
      <c r="W456" s="1">
        <f t="shared" si="334"/>
        <v>0</v>
      </c>
      <c r="X456" s="1">
        <f t="shared" si="334"/>
        <v>0</v>
      </c>
      <c r="Y456" s="1">
        <f t="shared" si="334"/>
        <v>0</v>
      </c>
      <c r="Z456" s="1">
        <f t="shared" si="334"/>
        <v>0</v>
      </c>
    </row>
    <row r="457" ht="15.75">
      <c r="A457" s="149"/>
    </row>
    <row r="458" spans="1:26" ht="15.75">
      <c r="A458" s="149" t="s">
        <v>239</v>
      </c>
      <c r="B458" s="1">
        <f>B158</f>
        <v>0</v>
      </c>
      <c r="C458" s="1">
        <f aca="true" t="shared" si="335" ref="C458:Z458">C158</f>
        <v>-1.1023735941757438</v>
      </c>
      <c r="D458" s="1">
        <f t="shared" si="335"/>
        <v>-1.7953546055626715</v>
      </c>
      <c r="E458" s="1">
        <f t="shared" si="335"/>
        <v>-2.031717523440031</v>
      </c>
      <c r="F458" s="1">
        <f t="shared" si="335"/>
        <v>-1.7953546055626726</v>
      </c>
      <c r="G458" s="1">
        <f t="shared" si="335"/>
        <v>-1.1023735941757438</v>
      </c>
      <c r="H458" s="1">
        <f t="shared" si="335"/>
        <v>0</v>
      </c>
      <c r="I458" s="1">
        <f t="shared" si="335"/>
        <v>1.4366412382799836</v>
      </c>
      <c r="J458" s="1">
        <f t="shared" si="335"/>
        <v>3.1096453944373303</v>
      </c>
      <c r="K458" s="1">
        <f t="shared" si="335"/>
        <v>4.905</v>
      </c>
      <c r="L458" s="1">
        <f t="shared" si="335"/>
        <v>6.700354605562673</v>
      </c>
      <c r="M458" s="1">
        <f t="shared" si="335"/>
        <v>8.373358761720016</v>
      </c>
      <c r="N458" s="1">
        <f t="shared" si="335"/>
        <v>9.81</v>
      </c>
      <c r="O458" s="1">
        <f t="shared" si="335"/>
        <v>10.912373594175747</v>
      </c>
      <c r="P458" s="1">
        <f t="shared" si="335"/>
        <v>11.605354605562672</v>
      </c>
      <c r="Q458" s="1">
        <f t="shared" si="335"/>
        <v>11.841717523440032</v>
      </c>
      <c r="R458" s="1">
        <f t="shared" si="335"/>
        <v>11.60535460556267</v>
      </c>
      <c r="S458" s="1">
        <f t="shared" si="335"/>
        <v>10.912373594175744</v>
      </c>
      <c r="T458" s="1">
        <f t="shared" si="335"/>
        <v>9.81</v>
      </c>
      <c r="U458" s="1">
        <f t="shared" si="335"/>
        <v>8.373358761720013</v>
      </c>
      <c r="V458" s="1">
        <f t="shared" si="335"/>
        <v>6.70035460556267</v>
      </c>
      <c r="W458" s="1">
        <f t="shared" si="335"/>
        <v>4.905</v>
      </c>
      <c r="X458" s="1">
        <f t="shared" si="335"/>
        <v>3.109645394437326</v>
      </c>
      <c r="Y458" s="1">
        <f t="shared" si="335"/>
        <v>1.4366412382799836</v>
      </c>
      <c r="Z458" s="1">
        <f t="shared" si="335"/>
        <v>1.0891287871572786E-15</v>
      </c>
    </row>
    <row r="459" spans="1:26" ht="15.75">
      <c r="A459" s="149" t="s">
        <v>240</v>
      </c>
      <c r="B459" s="1">
        <f>B180</f>
        <v>0</v>
      </c>
      <c r="C459" s="1">
        <f aca="true" t="shared" si="336" ref="C459:Z459">C180</f>
        <v>-1.5755853260559336</v>
      </c>
      <c r="D459" s="1">
        <f t="shared" si="336"/>
        <v>-3.309360593849188</v>
      </c>
      <c r="E459" s="1">
        <f t="shared" si="336"/>
        <v>-4.80016158881864</v>
      </c>
      <c r="F459" s="1">
        <f t="shared" si="336"/>
        <v>-5.910323311952026</v>
      </c>
      <c r="G459" s="1">
        <f t="shared" si="336"/>
        <v>-6.687130557353761</v>
      </c>
      <c r="H459" s="1">
        <f t="shared" si="336"/>
        <v>-7.230217299101016</v>
      </c>
      <c r="I459" s="1">
        <f t="shared" si="336"/>
        <v>-7.6234297813708825</v>
      </c>
      <c r="J459" s="1">
        <f t="shared" si="336"/>
        <v>-7.916654282194083</v>
      </c>
      <c r="K459" s="1">
        <f t="shared" si="336"/>
        <v>-8.127501901352467</v>
      </c>
      <c r="L459" s="1">
        <f t="shared" si="336"/>
        <v>-8.248337800283597</v>
      </c>
      <c r="M459" s="1">
        <f t="shared" si="336"/>
        <v>-8.254224638712163</v>
      </c>
      <c r="N459" s="1">
        <f t="shared" si="336"/>
        <v>-8.110999301004226</v>
      </c>
      <c r="O459" s="1">
        <f t="shared" si="336"/>
        <v>-7.783460399795114</v>
      </c>
      <c r="P459" s="1">
        <f t="shared" si="336"/>
        <v>-7.243440500726848</v>
      </c>
      <c r="Q459" s="1">
        <f t="shared" si="336"/>
        <v>-6.47720693914763</v>
      </c>
      <c r="R459" s="1">
        <f t="shared" si="336"/>
        <v>-5.491556274364863</v>
      </c>
      <c r="S459" s="1">
        <f t="shared" si="336"/>
        <v>-4.318254709835739</v>
      </c>
      <c r="T459" s="1">
        <f t="shared" si="336"/>
        <v>-3.0170632198989358</v>
      </c>
      <c r="U459" s="1">
        <f t="shared" si="336"/>
        <v>-1.678334769446957</v>
      </c>
      <c r="V459" s="1">
        <f t="shared" si="336"/>
        <v>-0.42684846882525995</v>
      </c>
      <c r="W459" s="1">
        <f t="shared" si="336"/>
        <v>0.5719171444038321</v>
      </c>
      <c r="X459" s="1">
        <f t="shared" si="336"/>
        <v>1.1082005142679314</v>
      </c>
      <c r="Y459" s="1">
        <f t="shared" si="336"/>
        <v>0.9564949241626973</v>
      </c>
      <c r="Z459" s="1">
        <f t="shared" si="336"/>
        <v>-4.901079542207754E-16</v>
      </c>
    </row>
    <row r="460" spans="1:26" ht="15.75">
      <c r="A460" s="149" t="s">
        <v>241</v>
      </c>
      <c r="B460" s="1">
        <f>B223</f>
        <v>4.901079542207754E-16</v>
      </c>
      <c r="C460" s="1">
        <f aca="true" t="shared" si="337" ref="C460:Z460">C223</f>
        <v>-0.7829106375991076</v>
      </c>
      <c r="D460" s="1">
        <f t="shared" si="337"/>
        <v>-1.460280215525766</v>
      </c>
      <c r="E460" s="1">
        <f t="shared" si="337"/>
        <v>-1.9121557796208881</v>
      </c>
      <c r="F460" s="1">
        <f t="shared" si="337"/>
        <v>-2.1180116414194106</v>
      </c>
      <c r="G460" s="1">
        <f t="shared" si="337"/>
        <v>-2.1135924082052497</v>
      </c>
      <c r="H460" s="1">
        <f t="shared" si="337"/>
        <v>-1.9478500554551004</v>
      </c>
      <c r="I460" s="1">
        <f t="shared" si="337"/>
        <v>-1.665950728206551</v>
      </c>
      <c r="J460" s="1">
        <f t="shared" si="337"/>
        <v>-1.3063648545738202</v>
      </c>
      <c r="K460" s="1">
        <f t="shared" si="337"/>
        <v>-0.9016292844398408</v>
      </c>
      <c r="L460" s="1">
        <f t="shared" si="337"/>
        <v>-0.4791034656642658</v>
      </c>
      <c r="M460" s="1">
        <f t="shared" si="337"/>
        <v>-0.06117287009897294</v>
      </c>
      <c r="N460" s="1">
        <f t="shared" si="337"/>
        <v>0.33476468049695257</v>
      </c>
      <c r="O460" s="1">
        <f t="shared" si="337"/>
        <v>0.6961228590189914</v>
      </c>
      <c r="P460" s="1">
        <f t="shared" si="337"/>
        <v>1.0145224239612498</v>
      </c>
      <c r="Q460" s="1">
        <f t="shared" si="337"/>
        <v>1.2847227064485478</v>
      </c>
      <c r="R460" s="1">
        <f t="shared" si="337"/>
        <v>1.5031847799765694</v>
      </c>
      <c r="S460" s="1">
        <f t="shared" si="337"/>
        <v>1.6663687740180968</v>
      </c>
      <c r="T460" s="1">
        <f t="shared" si="337"/>
        <v>1.7687544010967162</v>
      </c>
      <c r="U460" s="1">
        <f t="shared" si="337"/>
        <v>1.8004000642933515</v>
      </c>
      <c r="V460" s="1">
        <f t="shared" si="337"/>
        <v>1.743776471834297</v>
      </c>
      <c r="W460" s="1">
        <f t="shared" si="337"/>
        <v>1.5701710639659407</v>
      </c>
      <c r="X460" s="1">
        <f t="shared" si="337"/>
        <v>1.2389850595813257</v>
      </c>
      <c r="Y460" s="1">
        <f t="shared" si="337"/>
        <v>0.7119155644920584</v>
      </c>
      <c r="Z460" s="1">
        <f t="shared" si="337"/>
        <v>7.024880677164447E-15</v>
      </c>
    </row>
    <row r="461" spans="1:26" ht="15.75">
      <c r="A461" s="149" t="s">
        <v>242</v>
      </c>
      <c r="B461" s="1">
        <f>B245</f>
        <v>0</v>
      </c>
      <c r="C461" s="1">
        <f aca="true" t="shared" si="338" ref="C461:Z461">C245</f>
        <v>6.486877021927878</v>
      </c>
      <c r="D461" s="1">
        <f t="shared" si="338"/>
        <v>11.689557811961107</v>
      </c>
      <c r="E461" s="1">
        <f t="shared" si="338"/>
        <v>14.936226499574051</v>
      </c>
      <c r="F461" s="1">
        <f t="shared" si="338"/>
        <v>16.351975862049365</v>
      </c>
      <c r="G461" s="1">
        <f t="shared" si="338"/>
        <v>16.32201530505709</v>
      </c>
      <c r="H461" s="1">
        <f t="shared" si="338"/>
        <v>15.184628176335037</v>
      </c>
      <c r="I461" s="1">
        <f t="shared" si="338"/>
        <v>13.19036945846009</v>
      </c>
      <c r="J461" s="1">
        <f t="shared" si="338"/>
        <v>10.54188747761943</v>
      </c>
      <c r="K461" s="1">
        <f t="shared" si="338"/>
        <v>7.426756450156472</v>
      </c>
      <c r="L461" s="1">
        <f t="shared" si="338"/>
        <v>4.028797009419955</v>
      </c>
      <c r="M461" s="1">
        <f t="shared" si="338"/>
        <v>0.5247253663222542</v>
      </c>
      <c r="N461" s="1">
        <f t="shared" si="338"/>
        <v>-2.925005980645406</v>
      </c>
      <c r="O461" s="1">
        <f t="shared" si="338"/>
        <v>-6.184507545768807</v>
      </c>
      <c r="P461" s="1">
        <f t="shared" si="338"/>
        <v>-9.145896672860003</v>
      </c>
      <c r="Q461" s="1">
        <f t="shared" si="338"/>
        <v>-11.726384761915785</v>
      </c>
      <c r="R461" s="1">
        <f t="shared" si="338"/>
        <v>-13.859373110590091</v>
      </c>
      <c r="S461" s="1">
        <f t="shared" si="338"/>
        <v>-15.480667138780916</v>
      </c>
      <c r="T461" s="1">
        <f t="shared" si="338"/>
        <v>-16.51046035133979</v>
      </c>
      <c r="U461" s="1">
        <f t="shared" si="338"/>
        <v>-16.830744599329652</v>
      </c>
      <c r="V461" s="1">
        <f t="shared" si="338"/>
        <v>-16.258327501768093</v>
      </c>
      <c r="W461" s="1">
        <f t="shared" si="338"/>
        <v>-14.52196486830575</v>
      </c>
      <c r="X461" s="1">
        <f t="shared" si="338"/>
        <v>-11.285144328679745</v>
      </c>
      <c r="Y461" s="1">
        <f t="shared" si="338"/>
        <v>-6.329403035141455</v>
      </c>
      <c r="Z461" s="1">
        <f t="shared" si="338"/>
        <v>0</v>
      </c>
    </row>
    <row r="462" spans="1:26" ht="15.75">
      <c r="A462" s="149" t="s">
        <v>243</v>
      </c>
      <c r="B462" s="1">
        <f>B265</f>
        <v>0</v>
      </c>
      <c r="C462" s="1">
        <f aca="true" t="shared" si="339" ref="C462:Z462">C265</f>
        <v>0</v>
      </c>
      <c r="D462" s="1">
        <f t="shared" si="339"/>
        <v>0</v>
      </c>
      <c r="E462" s="1">
        <f t="shared" si="339"/>
        <v>0</v>
      </c>
      <c r="F462" s="1">
        <f t="shared" si="339"/>
        <v>0</v>
      </c>
      <c r="G462" s="1">
        <f t="shared" si="339"/>
        <v>0</v>
      </c>
      <c r="H462" s="1">
        <f t="shared" si="339"/>
        <v>0</v>
      </c>
      <c r="I462" s="1">
        <f t="shared" si="339"/>
        <v>0</v>
      </c>
      <c r="J462" s="1">
        <f t="shared" si="339"/>
        <v>0</v>
      </c>
      <c r="K462" s="1">
        <f t="shared" si="339"/>
        <v>0</v>
      </c>
      <c r="L462" s="1">
        <f t="shared" si="339"/>
        <v>0</v>
      </c>
      <c r="M462" s="1">
        <f t="shared" si="339"/>
        <v>0</v>
      </c>
      <c r="N462" s="1">
        <f t="shared" si="339"/>
        <v>0</v>
      </c>
      <c r="O462" s="1">
        <f t="shared" si="339"/>
        <v>0</v>
      </c>
      <c r="P462" s="1">
        <f t="shared" si="339"/>
        <v>0</v>
      </c>
      <c r="Q462" s="1">
        <f t="shared" si="339"/>
        <v>0</v>
      </c>
      <c r="R462" s="1">
        <f t="shared" si="339"/>
        <v>0</v>
      </c>
      <c r="S462" s="1">
        <f t="shared" si="339"/>
        <v>0</v>
      </c>
      <c r="T462" s="1">
        <f t="shared" si="339"/>
        <v>0</v>
      </c>
      <c r="U462" s="1">
        <f t="shared" si="339"/>
        <v>0</v>
      </c>
      <c r="V462" s="1">
        <f t="shared" si="339"/>
        <v>0</v>
      </c>
      <c r="W462" s="1">
        <f t="shared" si="339"/>
        <v>0</v>
      </c>
      <c r="X462" s="1">
        <f t="shared" si="339"/>
        <v>0</v>
      </c>
      <c r="Y462" s="1">
        <f t="shared" si="339"/>
        <v>0</v>
      </c>
      <c r="Z462" s="1">
        <f t="shared" si="339"/>
        <v>0</v>
      </c>
    </row>
    <row r="463" ht="15.75">
      <c r="A463" s="75"/>
    </row>
    <row r="464" spans="1:26" ht="15.75">
      <c r="A464" s="75" t="s">
        <v>244</v>
      </c>
      <c r="B464" s="1">
        <f>(B35^2+B36^2)^(1/2)</f>
        <v>1</v>
      </c>
      <c r="C464" s="1">
        <f aca="true" t="shared" si="340" ref="C464:Z464">(C35^2+C36^2)^(1/2)</f>
        <v>1.000019774813045</v>
      </c>
      <c r="D464" s="1">
        <f t="shared" si="340"/>
        <v>1.0033424923733794</v>
      </c>
      <c r="E464" s="1">
        <f t="shared" si="340"/>
        <v>0.998295663695006</v>
      </c>
      <c r="F464" s="1">
        <f t="shared" si="340"/>
        <v>0.9915127818840531</v>
      </c>
      <c r="G464" s="1">
        <f t="shared" si="340"/>
        <v>0.9881732976864567</v>
      </c>
      <c r="H464" s="1">
        <f t="shared" si="340"/>
        <v>0.9874198035937444</v>
      </c>
      <c r="I464" s="1">
        <f t="shared" si="340"/>
        <v>0.9875086635652142</v>
      </c>
      <c r="J464" s="1">
        <f t="shared" si="340"/>
        <v>0.9880134637266446</v>
      </c>
      <c r="K464" s="1">
        <f t="shared" si="340"/>
        <v>0.9890035399998468</v>
      </c>
      <c r="L464" s="1">
        <f t="shared" si="340"/>
        <v>0.9901384772046984</v>
      </c>
      <c r="M464" s="1">
        <f t="shared" si="340"/>
        <v>0.9908010132142446</v>
      </c>
      <c r="N464" s="1">
        <f t="shared" si="340"/>
        <v>0.9906951004248572</v>
      </c>
      <c r="O464" s="1">
        <f t="shared" si="340"/>
        <v>0.9900176615920943</v>
      </c>
      <c r="P464" s="1">
        <f t="shared" si="340"/>
        <v>0.9890675240142475</v>
      </c>
      <c r="Q464" s="1">
        <f t="shared" si="340"/>
        <v>0.9878856077522344</v>
      </c>
      <c r="R464" s="1">
        <f t="shared" si="340"/>
        <v>0.9863806340904117</v>
      </c>
      <c r="S464" s="1">
        <f t="shared" si="340"/>
        <v>0.9846905051404857</v>
      </c>
      <c r="T464" s="1">
        <f t="shared" si="340"/>
        <v>0.9832319678771302</v>
      </c>
      <c r="U464" s="1">
        <f t="shared" si="340"/>
        <v>0.9823333737140237</v>
      </c>
      <c r="V464" s="1">
        <f t="shared" si="340"/>
        <v>0.9819417619845849</v>
      </c>
      <c r="W464" s="1">
        <f t="shared" si="340"/>
        <v>0.9819078396733589</v>
      </c>
      <c r="X464" s="1">
        <f t="shared" si="340"/>
        <v>0.9827458948737651</v>
      </c>
      <c r="Y464" s="1">
        <f t="shared" si="340"/>
        <v>0.986042919905405</v>
      </c>
      <c r="Z464" s="1">
        <f t="shared" si="340"/>
        <v>0.9931771467564366</v>
      </c>
    </row>
  </sheetData>
  <mergeCells count="6">
    <mergeCell ref="A306:C306"/>
    <mergeCell ref="A298:C298"/>
    <mergeCell ref="N13:P13"/>
    <mergeCell ref="A137:B137"/>
    <mergeCell ref="A182:B182"/>
    <mergeCell ref="A291:C291"/>
  </mergeCells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1509</dc:creator>
  <cp:keywords/>
  <dc:description/>
  <cp:lastModifiedBy>user</cp:lastModifiedBy>
  <cp:lastPrinted>2009-12-08T07:59:51Z</cp:lastPrinted>
  <dcterms:created xsi:type="dcterms:W3CDTF">2006-10-06T15:26:53Z</dcterms:created>
  <dcterms:modified xsi:type="dcterms:W3CDTF">2010-05-11T12:09:22Z</dcterms:modified>
  <cp:category/>
  <cp:version/>
  <cp:contentType/>
  <cp:contentStatus/>
</cp:coreProperties>
</file>