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420" windowHeight="4320" activeTab="1"/>
  </bookViews>
  <sheets>
    <sheet name="Mehanizm" sheetId="1" r:id="rId1"/>
    <sheet name="Расчеты" sheetId="2" r:id="rId2"/>
    <sheet name="Графики" sheetId="3" r:id="rId3"/>
    <sheet name="Проверка" sheetId="4" r:id="rId4"/>
  </sheets>
  <definedNames/>
  <calcPr fullCalcOnLoad="1"/>
</workbook>
</file>

<file path=xl/sharedStrings.xml><?xml version="1.0" encoding="utf-8"?>
<sst xmlns="http://schemas.openxmlformats.org/spreadsheetml/2006/main" count="323" uniqueCount="295">
  <si>
    <t>Тип</t>
  </si>
  <si>
    <t>Значение</t>
  </si>
  <si>
    <t>L1</t>
  </si>
  <si>
    <t>M1</t>
  </si>
  <si>
    <t>L2</t>
  </si>
  <si>
    <t>M2</t>
  </si>
  <si>
    <t>L3</t>
  </si>
  <si>
    <t>M3</t>
  </si>
  <si>
    <t>AM</t>
  </si>
  <si>
    <t>Alfa_A</t>
  </si>
  <si>
    <t>Betta_A</t>
  </si>
  <si>
    <t>Fi0</t>
  </si>
  <si>
    <t>Alfa_B</t>
  </si>
  <si>
    <t>Betta_B</t>
  </si>
  <si>
    <t>Alfa_M</t>
  </si>
  <si>
    <t>Betta_M</t>
  </si>
  <si>
    <t>Alfa_C1</t>
  </si>
  <si>
    <t>Betta_C1</t>
  </si>
  <si>
    <t>Delta_Fi</t>
  </si>
  <si>
    <t>Alfa_C2</t>
  </si>
  <si>
    <t>Betta_C2</t>
  </si>
  <si>
    <t>Alfa_C3</t>
  </si>
  <si>
    <t>Betta_C3</t>
  </si>
  <si>
    <t>+Fi_tt</t>
  </si>
  <si>
    <t xml:space="preserve">J1 </t>
  </si>
  <si>
    <t>J2</t>
  </si>
  <si>
    <t>J3</t>
  </si>
  <si>
    <t>Налейкин Валерий Михайлович, гр. ГМО-01-03</t>
  </si>
  <si>
    <t>Fi</t>
  </si>
  <si>
    <t>проверка</t>
  </si>
  <si>
    <t>DeltFi</t>
  </si>
  <si>
    <t>cos(DeltFi)</t>
  </si>
  <si>
    <t>sin (DeltFi)</t>
  </si>
  <si>
    <t>Del(t)</t>
  </si>
  <si>
    <t>(X)A=</t>
  </si>
  <si>
    <t>(Y)A=</t>
  </si>
  <si>
    <t>(X_t)A=</t>
  </si>
  <si>
    <t>(Y_t)A=</t>
  </si>
  <si>
    <t>(X_tt)A=</t>
  </si>
  <si>
    <t>(Y_tt)A=</t>
  </si>
  <si>
    <t>(X)C1=</t>
  </si>
  <si>
    <t>(Y)C1=</t>
  </si>
  <si>
    <t>(X_t)C1=</t>
  </si>
  <si>
    <t>(Y_t)C1=</t>
  </si>
  <si>
    <t>(X_tt)C1=</t>
  </si>
  <si>
    <t>(Y_tt)C1=</t>
  </si>
  <si>
    <t>Fx(С1)=</t>
  </si>
  <si>
    <t>Fy(С1)=</t>
  </si>
  <si>
    <t>Mc1=</t>
  </si>
  <si>
    <t>P</t>
  </si>
  <si>
    <t>Q</t>
  </si>
  <si>
    <t>F</t>
  </si>
  <si>
    <t>Дискр</t>
  </si>
  <si>
    <t>tg(Psi/2)</t>
  </si>
  <si>
    <t>Psi/2</t>
  </si>
  <si>
    <t>Psi</t>
  </si>
  <si>
    <t>(Psi)t=Pr</t>
  </si>
  <si>
    <t>Ksi</t>
  </si>
  <si>
    <t>Psi_t</t>
  </si>
  <si>
    <t>Ksi_t</t>
  </si>
  <si>
    <t>f1</t>
  </si>
  <si>
    <t xml:space="preserve">f2 </t>
  </si>
  <si>
    <t>Psi_tt</t>
  </si>
  <si>
    <t>Ksi_tt</t>
  </si>
  <si>
    <t>Начальные данные</t>
  </si>
  <si>
    <t>Кинематический анализ</t>
  </si>
  <si>
    <t>Кинематические связи</t>
  </si>
  <si>
    <t>Точка А</t>
  </si>
  <si>
    <t>Центр массы 1-го звена</t>
  </si>
  <si>
    <t>Расчет механизма</t>
  </si>
  <si>
    <t>Налейкин</t>
  </si>
  <si>
    <t>Валерий</t>
  </si>
  <si>
    <t>ГМО-1-03</t>
  </si>
  <si>
    <t>Fi(radian)</t>
  </si>
  <si>
    <t>(Fi)tt</t>
  </si>
  <si>
    <t>(Fi)t</t>
  </si>
  <si>
    <t>(Fi)расч</t>
  </si>
  <si>
    <t>Погрешн</t>
  </si>
  <si>
    <t>(Fi_t)0</t>
  </si>
  <si>
    <t>(Fi_tt)0</t>
  </si>
  <si>
    <t>g</t>
  </si>
  <si>
    <t>(Ksi)t pr</t>
  </si>
  <si>
    <t>Работа №</t>
  </si>
  <si>
    <t>Точка B</t>
  </si>
  <si>
    <t>X(B)=</t>
  </si>
  <si>
    <t>Y(B)=</t>
  </si>
  <si>
    <t>X_t(B)=</t>
  </si>
  <si>
    <t>Y_t(B)=</t>
  </si>
  <si>
    <t>X_tt(B)=</t>
  </si>
  <si>
    <t>Y_tt(B)=</t>
  </si>
  <si>
    <t>Центр массы звена 2</t>
  </si>
  <si>
    <t>X(С2)=</t>
  </si>
  <si>
    <t>Y(С2)=</t>
  </si>
  <si>
    <t>X_t(С2)=</t>
  </si>
  <si>
    <t>Y_t(С2)=</t>
  </si>
  <si>
    <t>X_tt(С2)=</t>
  </si>
  <si>
    <t>Y_tt(С2)=</t>
  </si>
  <si>
    <t>Центр массы звена 3</t>
  </si>
  <si>
    <t>(X)B=</t>
  </si>
  <si>
    <t>(Y)B=</t>
  </si>
  <si>
    <t>(X_t)B=</t>
  </si>
  <si>
    <t>(Y_t)B=</t>
  </si>
  <si>
    <t>(X_tt)B=</t>
  </si>
  <si>
    <t>(Y_tt)B=</t>
  </si>
  <si>
    <t>(X)C3=</t>
  </si>
  <si>
    <t>(Y)C3=</t>
  </si>
  <si>
    <t>(X_t)C3=</t>
  </si>
  <si>
    <t>(Y_t)C3=</t>
  </si>
  <si>
    <t>(X_tt)C3=</t>
  </si>
  <si>
    <t>(Y_tt)C3=</t>
  </si>
  <si>
    <t>pr x otn A</t>
  </si>
  <si>
    <t>pr x otn B</t>
  </si>
  <si>
    <t>pr y otn A</t>
  </si>
  <si>
    <t>pr y otn B</t>
  </si>
  <si>
    <t>omega</t>
  </si>
  <si>
    <t>b</t>
  </si>
  <si>
    <t>k</t>
  </si>
  <si>
    <t>X(O1)</t>
  </si>
  <si>
    <t>Y(O1)</t>
  </si>
  <si>
    <t>Энергетический анализ</t>
  </si>
  <si>
    <t>Екин1=</t>
  </si>
  <si>
    <t>Wpr1=</t>
  </si>
  <si>
    <t>Wкин1=</t>
  </si>
  <si>
    <t>Wоб1=</t>
  </si>
  <si>
    <t>Екин2=</t>
  </si>
  <si>
    <t>Fx(C2)=</t>
  </si>
  <si>
    <t>Fy(C2)=</t>
  </si>
  <si>
    <t>Mc2=</t>
  </si>
  <si>
    <t>Wpr2=</t>
  </si>
  <si>
    <t>Wкин2=</t>
  </si>
  <si>
    <t>Wоб2=</t>
  </si>
  <si>
    <t>Екин3=</t>
  </si>
  <si>
    <t>Fx(C3)=</t>
  </si>
  <si>
    <t>Fy(C3)=</t>
  </si>
  <si>
    <t>Mc3=</t>
  </si>
  <si>
    <t>Wpr3=</t>
  </si>
  <si>
    <t>Wкин3=</t>
  </si>
  <si>
    <t>Wоб3=</t>
  </si>
  <si>
    <t>Точка B через коромысло</t>
  </si>
  <si>
    <t>Точка H</t>
  </si>
  <si>
    <t>Изменение потенциальной энергии</t>
  </si>
  <si>
    <t>dEpot1=</t>
  </si>
  <si>
    <t>dEpot2=</t>
  </si>
  <si>
    <t>dEpot3=</t>
  </si>
  <si>
    <t>Точка К</t>
  </si>
  <si>
    <t>X(K)</t>
  </si>
  <si>
    <t>Y(K)</t>
  </si>
  <si>
    <t>dEpotOb=</t>
  </si>
  <si>
    <t>Екин4=</t>
  </si>
  <si>
    <t>Fx(C4)=</t>
  </si>
  <si>
    <t>Fy(C4)=</t>
  </si>
  <si>
    <t>Mc4=</t>
  </si>
  <si>
    <t>Wpr4=</t>
  </si>
  <si>
    <t>Wкин4=</t>
  </si>
  <si>
    <t>Wоб4=</t>
  </si>
  <si>
    <t>Скорость изменения потенциальной энергии</t>
  </si>
  <si>
    <t>Wpot1=</t>
  </si>
  <si>
    <t>Wpot2=</t>
  </si>
  <si>
    <t>Wpot3=</t>
  </si>
  <si>
    <t>Кинетическая энергия</t>
  </si>
  <si>
    <t>EкинОб</t>
  </si>
  <si>
    <t>L5</t>
  </si>
  <si>
    <t>Скорость изменения кинетической энергии</t>
  </si>
  <si>
    <t>Wkin_1</t>
  </si>
  <si>
    <t>Wkin_2</t>
  </si>
  <si>
    <t>Wkin_3</t>
  </si>
  <si>
    <t>Wkin_4</t>
  </si>
  <si>
    <t>WkinOb</t>
  </si>
  <si>
    <t>dEpot4=</t>
  </si>
  <si>
    <t>Wpot4=</t>
  </si>
  <si>
    <t>WpotOb=</t>
  </si>
  <si>
    <t>Qtex_x</t>
  </si>
  <si>
    <t>Qtex_y</t>
  </si>
  <si>
    <t>Усилия в шарнирах</t>
  </si>
  <si>
    <t>Qx</t>
  </si>
  <si>
    <t>Qy</t>
  </si>
  <si>
    <t>W(mB)=</t>
  </si>
  <si>
    <t>W(ob)B=</t>
  </si>
  <si>
    <t>W(Qb)=</t>
  </si>
  <si>
    <t>Реактивная сила вместо момента</t>
  </si>
  <si>
    <t>(Rx)B=</t>
  </si>
  <si>
    <t>(Ry)B=</t>
  </si>
  <si>
    <t>(M)B=</t>
  </si>
  <si>
    <t>Проверка</t>
  </si>
  <si>
    <t>(Px)B=</t>
  </si>
  <si>
    <t>(Py)B=</t>
  </si>
  <si>
    <t>Пр-каW</t>
  </si>
  <si>
    <t>W(P)B=</t>
  </si>
  <si>
    <t>Шарнир В</t>
  </si>
  <si>
    <t>X(H)=</t>
  </si>
  <si>
    <t>Y(H)=</t>
  </si>
  <si>
    <t>V(H)</t>
  </si>
  <si>
    <t>M5</t>
  </si>
  <si>
    <t>Технологическое усилие и его проекции (полюс P=B)</t>
  </si>
  <si>
    <t>A1=</t>
  </si>
  <si>
    <t>B1=</t>
  </si>
  <si>
    <t>A2=</t>
  </si>
  <si>
    <t>B2=</t>
  </si>
  <si>
    <t>Xt p</t>
  </si>
  <si>
    <t>Yt p</t>
  </si>
  <si>
    <t>W(Qtex)</t>
  </si>
  <si>
    <t>Alyushin</t>
  </si>
  <si>
    <t>xt(H) числ</t>
  </si>
  <si>
    <t>Екин5=</t>
  </si>
  <si>
    <t>Fx(C5)=</t>
  </si>
  <si>
    <t>Fy(C5)=</t>
  </si>
  <si>
    <t>Mc5=</t>
  </si>
  <si>
    <t>Wpr5=</t>
  </si>
  <si>
    <t>Wкин5=</t>
  </si>
  <si>
    <t>Wоб5=</t>
  </si>
  <si>
    <t>C5</t>
  </si>
  <si>
    <t>(x)C5</t>
  </si>
  <si>
    <t>(y)C5=</t>
  </si>
  <si>
    <t>Wkin_5</t>
  </si>
  <si>
    <t>Wpotr=</t>
  </si>
  <si>
    <t>Ksi_tt pr</t>
  </si>
  <si>
    <t>Шарнир H5</t>
  </si>
  <si>
    <t>(M)H5=</t>
  </si>
  <si>
    <t>Пр-каW5</t>
  </si>
  <si>
    <t>Wpot=</t>
  </si>
  <si>
    <t>Шарнир H2</t>
  </si>
  <si>
    <t>(xt)H2=</t>
  </si>
  <si>
    <t>(yt)H2=</t>
  </si>
  <si>
    <t>Пр-каW H2</t>
  </si>
  <si>
    <t>ПАССИВНАЯ СИЛА В ШАРНИРЕ В</t>
  </si>
  <si>
    <t>W(m A2)=</t>
  </si>
  <si>
    <t>W(ob) A2=</t>
  </si>
  <si>
    <t>Пр-каW A2</t>
  </si>
  <si>
    <t>W(P)A2=</t>
  </si>
  <si>
    <t>(Sx)B=</t>
  </si>
  <si>
    <t>(Sy)B=</t>
  </si>
  <si>
    <t>ПАССИВНАЯ СИЛА В ШАРНИРЕ H</t>
  </si>
  <si>
    <t>(Sx)H=</t>
  </si>
  <si>
    <t>(Sy)H=</t>
  </si>
  <si>
    <t>МОМЕНТ И СИЛЫ НА ПРИВОДНОМ ВАЛУ</t>
  </si>
  <si>
    <t>ВАРИАНТ С ПАССИВНОЙ СИЛОЙ В ШАРНИРЕ В</t>
  </si>
  <si>
    <t>W (M0)</t>
  </si>
  <si>
    <t>Wpotr</t>
  </si>
  <si>
    <t>Pr-ka W</t>
  </si>
  <si>
    <t>ВАРИАНТ С ПАССИВНОЙ СИЛОЙ В ШАРНИРЕ H</t>
  </si>
  <si>
    <t>(Qx)В</t>
  </si>
  <si>
    <t>(Qy)В</t>
  </si>
  <si>
    <t>(Px)A1=</t>
  </si>
  <si>
    <t>(Py)A1=</t>
  </si>
  <si>
    <t>W(P)A1=</t>
  </si>
  <si>
    <t>(Px)A2=</t>
  </si>
  <si>
    <t>(Py)A2=</t>
  </si>
  <si>
    <t>(Rx)A1=</t>
  </si>
  <si>
    <t>(Ry)A1=</t>
  </si>
  <si>
    <t>(Rx)A2=</t>
  </si>
  <si>
    <t>(Ry)A2=</t>
  </si>
  <si>
    <t>(M)A2=</t>
  </si>
  <si>
    <t>W(Q A2)=</t>
  </si>
  <si>
    <t>(Qx)A2</t>
  </si>
  <si>
    <t>(Qy)A2</t>
  </si>
  <si>
    <t>(Nx)O1=</t>
  </si>
  <si>
    <t>Mo1=</t>
  </si>
  <si>
    <t>(Nx)O2=</t>
  </si>
  <si>
    <t>Mo2=</t>
  </si>
  <si>
    <t>x(H)5=</t>
  </si>
  <si>
    <t>y(H)5=</t>
  </si>
  <si>
    <t>x(H)5-12=</t>
  </si>
  <si>
    <t>xt(H)5a=</t>
  </si>
  <si>
    <t>xt(H)5b=</t>
  </si>
  <si>
    <t>xtt(H5)=</t>
  </si>
  <si>
    <t>ytt(H5)=</t>
  </si>
  <si>
    <t>(X_t)H5=</t>
  </si>
  <si>
    <t>(Y_t)H5=</t>
  </si>
  <si>
    <t>xt(H5)=</t>
  </si>
  <si>
    <t>yt(H5)=</t>
  </si>
  <si>
    <t>(Qx)Н5</t>
  </si>
  <si>
    <t>(Qy)Н5</t>
  </si>
  <si>
    <t>Шарнир А2</t>
  </si>
  <si>
    <t>Wsum_1</t>
  </si>
  <si>
    <t>Wsum_2</t>
  </si>
  <si>
    <t>Wsum_3</t>
  </si>
  <si>
    <t>Wsum_5</t>
  </si>
  <si>
    <t>Wpr val</t>
  </si>
  <si>
    <t>Wtehn</t>
  </si>
  <si>
    <t>0=разрушение</t>
  </si>
  <si>
    <t>25=3 точки</t>
  </si>
  <si>
    <t>5=2 по новому</t>
  </si>
  <si>
    <t>1 или 3-2 точки</t>
  </si>
  <si>
    <t>10=1 пик</t>
  </si>
  <si>
    <t>15=4 точки</t>
  </si>
  <si>
    <t>15=3 точки</t>
  </si>
  <si>
    <t>35=1 пик</t>
  </si>
  <si>
    <t>Детали при а=-5, делФи=5</t>
  </si>
  <si>
    <t>КлючQtehn</t>
  </si>
  <si>
    <t>M4</t>
  </si>
  <si>
    <t>Jj4=</t>
  </si>
  <si>
    <t>Wpot5=</t>
  </si>
  <si>
    <t>(кинематика +)</t>
  </si>
  <si>
    <t>А1=</t>
  </si>
  <si>
    <t>А2=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</si>
</sst>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2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sz val="5.5"/>
      <name val="Arial Cyr"/>
      <family val="0"/>
    </font>
    <font>
      <sz val="8"/>
      <color indexed="9"/>
      <name val="Arial"/>
      <family val="0"/>
    </font>
    <font>
      <b/>
      <sz val="9"/>
      <name val="Arial Cyr"/>
      <family val="0"/>
    </font>
    <font>
      <i/>
      <u val="single"/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5.75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9"/>
      <color indexed="57"/>
      <name val="Arial"/>
      <family val="2"/>
    </font>
    <font>
      <sz val="8"/>
      <name val="Arial"/>
      <family val="0"/>
    </font>
    <font>
      <sz val="9.75"/>
      <name val="Arial Cyr"/>
      <family val="0"/>
    </font>
    <font>
      <sz val="10.5"/>
      <name val="Arial Cyr"/>
      <family val="0"/>
    </font>
    <font>
      <b/>
      <sz val="9.75"/>
      <name val="Arial Cyr"/>
      <family val="0"/>
    </font>
    <font>
      <sz val="10.25"/>
      <name val="Arial Cyr"/>
      <family val="0"/>
    </font>
    <font>
      <sz val="9"/>
      <name val="Arial Cyr"/>
      <family val="0"/>
    </font>
    <font>
      <sz val="9.25"/>
      <name val="Arial Cyr"/>
      <family val="0"/>
    </font>
    <font>
      <sz val="9.5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9"/>
      <color indexed="10"/>
      <name val="Times New Roman Cyr"/>
      <family val="0"/>
    </font>
    <font>
      <sz val="8.25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sz val="5.25"/>
      <name val="Arial Cyr"/>
      <family val="0"/>
    </font>
    <font>
      <sz val="4.75"/>
      <name val="Arial Cyr"/>
      <family val="0"/>
    </font>
    <font>
      <sz val="14"/>
      <name val="Arial"/>
      <family val="0"/>
    </font>
    <font>
      <b/>
      <sz val="8"/>
      <name val="Arial Cyr"/>
      <family val="0"/>
    </font>
    <font>
      <sz val="12"/>
      <name val="Arial"/>
      <family val="0"/>
    </font>
    <font>
      <b/>
      <sz val="11.5"/>
      <name val="Arial Cyr"/>
      <family val="0"/>
    </font>
    <font>
      <b/>
      <sz val="9.5"/>
      <name val="Arial Cyr"/>
      <family val="0"/>
    </font>
    <font>
      <b/>
      <sz val="11"/>
      <name val="Arial Cyr"/>
      <family val="0"/>
    </font>
    <font>
      <sz val="3.5"/>
      <name val="Arial Cyr"/>
      <family val="0"/>
    </font>
    <font>
      <sz val="3.25"/>
      <name val="Arial Cyr"/>
      <family val="0"/>
    </font>
    <font>
      <sz val="4"/>
      <name val="Arial Cyr"/>
      <family val="0"/>
    </font>
    <font>
      <sz val="4.25"/>
      <name val="Arial Cyr"/>
      <family val="0"/>
    </font>
    <font>
      <b/>
      <sz val="12"/>
      <name val="Arial Cyr"/>
      <family val="0"/>
    </font>
    <font>
      <b/>
      <sz val="8.75"/>
      <name val="Arial Cyr"/>
      <family val="0"/>
    </font>
    <font>
      <sz val="4.5"/>
      <name val="Arial Cyr"/>
      <family val="0"/>
    </font>
    <font>
      <sz val="8.75"/>
      <name val="Arial Cyr"/>
      <family val="0"/>
    </font>
    <font>
      <sz val="12"/>
      <name val="Arial Cyr"/>
      <family val="0"/>
    </font>
    <font>
      <sz val="11.2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17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0" fillId="0" borderId="2" xfId="18" applyNumberFormat="1" applyFill="1" applyBorder="1" applyAlignment="1">
      <alignment horizontal="center"/>
      <protection/>
    </xf>
    <xf numFmtId="2" fontId="10" fillId="0" borderId="3" xfId="18" applyNumberFormat="1" applyFill="1" applyBorder="1" applyAlignment="1">
      <alignment horizontal="center"/>
      <protection/>
    </xf>
    <xf numFmtId="2" fontId="10" fillId="0" borderId="4" xfId="18" applyNumberFormat="1" applyFill="1" applyBorder="1" applyAlignment="1">
      <alignment horizontal="center"/>
      <protection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2" fontId="13" fillId="0" borderId="0" xfId="18" applyNumberFormat="1" applyFont="1" applyFill="1" applyBorder="1" applyAlignment="1">
      <alignment horizontal="left"/>
      <protection/>
    </xf>
    <xf numFmtId="0" fontId="0" fillId="0" borderId="5" xfId="0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5" fillId="0" borderId="8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15" fillId="0" borderId="13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2" fontId="3" fillId="0" borderId="16" xfId="0" applyNumberFormat="1" applyFont="1" applyFill="1" applyBorder="1" applyAlignment="1">
      <alignment horizontal="left"/>
    </xf>
    <xf numFmtId="2" fontId="1" fillId="2" borderId="17" xfId="0" applyNumberFormat="1" applyFont="1" applyFill="1" applyBorder="1" applyAlignment="1">
      <alignment/>
    </xf>
    <xf numFmtId="2" fontId="3" fillId="0" borderId="16" xfId="0" applyNumberFormat="1" applyFont="1" applyFill="1" applyBorder="1" applyAlignment="1" quotePrefix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Fill="1" applyAlignment="1">
      <alignment/>
    </xf>
    <xf numFmtId="2" fontId="3" fillId="0" borderId="18" xfId="0" applyNumberFormat="1" applyFont="1" applyFill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0" xfId="0" applyNumberFormat="1" applyFill="1" applyBorder="1" applyAlignment="1">
      <alignment/>
    </xf>
    <xf numFmtId="2" fontId="10" fillId="0" borderId="21" xfId="18" applyNumberFormat="1" applyFill="1" applyBorder="1">
      <alignment/>
      <protection/>
    </xf>
    <xf numFmtId="2" fontId="10" fillId="0" borderId="1" xfId="18" applyNumberFormat="1" applyFill="1" applyBorder="1">
      <alignment/>
      <protection/>
    </xf>
    <xf numFmtId="2" fontId="10" fillId="0" borderId="22" xfId="18" applyNumberFormat="1" applyFill="1" applyBorder="1">
      <alignment/>
      <protection/>
    </xf>
    <xf numFmtId="2" fontId="10" fillId="0" borderId="0" xfId="18" applyNumberFormat="1" applyFill="1" applyBorder="1">
      <alignment/>
      <protection/>
    </xf>
    <xf numFmtId="2" fontId="10" fillId="0" borderId="23" xfId="18" applyNumberFormat="1" applyFill="1" applyBorder="1">
      <alignment/>
      <protection/>
    </xf>
    <xf numFmtId="2" fontId="10" fillId="0" borderId="20" xfId="18" applyNumberFormat="1" applyFill="1" applyBorder="1">
      <alignment/>
      <protection/>
    </xf>
    <xf numFmtId="2" fontId="10" fillId="0" borderId="1" xfId="18" applyNumberFormat="1" applyFont="1" applyFill="1" applyBorder="1" applyAlignment="1">
      <alignment horizontal="right" wrapText="1"/>
      <protection/>
    </xf>
    <xf numFmtId="2" fontId="10" fillId="0" borderId="0" xfId="18" applyNumberFormat="1" applyFill="1" applyBorder="1" applyAlignment="1">
      <alignment horizontal="right"/>
      <protection/>
    </xf>
    <xf numFmtId="2" fontId="10" fillId="0" borderId="20" xfId="18" applyNumberFormat="1" applyFill="1" applyBorder="1" applyAlignment="1">
      <alignment horizontal="right"/>
      <protection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2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2" fillId="0" borderId="5" xfId="18" applyNumberFormat="1" applyFont="1" applyFill="1" applyBorder="1" applyAlignment="1">
      <alignment horizontal="center"/>
      <protection/>
    </xf>
    <xf numFmtId="2" fontId="2" fillId="0" borderId="6" xfId="18" applyNumberFormat="1" applyFont="1" applyFill="1" applyBorder="1" applyAlignment="1">
      <alignment horizontal="center"/>
      <protection/>
    </xf>
    <xf numFmtId="2" fontId="2" fillId="0" borderId="7" xfId="18" applyNumberFormat="1" applyFont="1" applyFill="1" applyBorder="1" applyAlignment="1">
      <alignment horizontal="center"/>
      <protection/>
    </xf>
    <xf numFmtId="2" fontId="25" fillId="0" borderId="0" xfId="18" applyNumberFormat="1" applyFont="1" applyFill="1" applyBorder="1" applyAlignment="1">
      <alignment horizontal="left"/>
      <protection/>
    </xf>
    <xf numFmtId="2" fontId="25" fillId="0" borderId="0" xfId="18" applyNumberFormat="1" applyFont="1" applyFill="1" applyBorder="1">
      <alignment/>
      <protection/>
    </xf>
    <xf numFmtId="2" fontId="24" fillId="0" borderId="21" xfId="18" applyNumberFormat="1" applyFont="1" applyFill="1" applyBorder="1">
      <alignment/>
      <protection/>
    </xf>
    <xf numFmtId="2" fontId="24" fillId="0" borderId="22" xfId="18" applyNumberFormat="1" applyFont="1" applyFill="1" applyBorder="1">
      <alignment/>
      <protection/>
    </xf>
    <xf numFmtId="2" fontId="24" fillId="0" borderId="23" xfId="18" applyNumberFormat="1" applyFont="1" applyFill="1" applyBorder="1">
      <alignment/>
      <protection/>
    </xf>
    <xf numFmtId="2" fontId="25" fillId="0" borderId="5" xfId="18" applyNumberFormat="1" applyFont="1" applyFill="1" applyBorder="1">
      <alignment/>
      <protection/>
    </xf>
    <xf numFmtId="2" fontId="2" fillId="0" borderId="7" xfId="0" applyNumberFormat="1" applyFont="1" applyFill="1" applyBorder="1" applyAlignment="1">
      <alignment horizontal="center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0" xfId="18" applyNumberFormat="1" applyFont="1" applyFill="1" applyBorder="1" applyAlignment="1">
      <alignment horizontal="center"/>
      <protection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5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/>
    </xf>
    <xf numFmtId="2" fontId="0" fillId="3" borderId="21" xfId="0" applyNumberFormat="1" applyFill="1" applyBorder="1" applyAlignment="1">
      <alignment horizontal="right"/>
    </xf>
    <xf numFmtId="2" fontId="0" fillId="3" borderId="22" xfId="0" applyNumberFormat="1" applyFill="1" applyBorder="1" applyAlignment="1">
      <alignment horizontal="right"/>
    </xf>
    <xf numFmtId="2" fontId="0" fillId="3" borderId="23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3" borderId="0" xfId="0" applyNumberFormat="1" applyFill="1" applyAlignment="1">
      <alignment/>
    </xf>
    <xf numFmtId="2" fontId="0" fillId="3" borderId="22" xfId="0" applyNumberFormat="1" applyFill="1" applyBorder="1" applyAlignment="1">
      <alignment/>
    </xf>
    <xf numFmtId="2" fontId="0" fillId="3" borderId="23" xfId="0" applyNumberFormat="1" applyFill="1" applyBorder="1" applyAlignment="1">
      <alignment/>
    </xf>
    <xf numFmtId="2" fontId="0" fillId="5" borderId="3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/>
    </xf>
    <xf numFmtId="2" fontId="0" fillId="3" borderId="3" xfId="0" applyNumberForma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2" fontId="26" fillId="3" borderId="21" xfId="0" applyNumberFormat="1" applyFont="1" applyFill="1" applyBorder="1" applyAlignment="1">
      <alignment/>
    </xf>
    <xf numFmtId="2" fontId="26" fillId="0" borderId="1" xfId="0" applyNumberFormat="1" applyFont="1" applyBorder="1" applyAlignment="1">
      <alignment/>
    </xf>
    <xf numFmtId="2" fontId="26" fillId="0" borderId="21" xfId="0" applyNumberFormat="1" applyFont="1" applyBorder="1" applyAlignment="1">
      <alignment/>
    </xf>
    <xf numFmtId="2" fontId="2" fillId="0" borderId="0" xfId="18" applyNumberFormat="1" applyFont="1" applyFill="1" applyBorder="1" applyAlignment="1">
      <alignment horizontal="left"/>
      <protection/>
    </xf>
    <xf numFmtId="2" fontId="27" fillId="0" borderId="7" xfId="18" applyNumberFormat="1" applyFont="1" applyFill="1" applyBorder="1" applyAlignment="1">
      <alignment horizontal="center"/>
      <protection/>
    </xf>
    <xf numFmtId="2" fontId="26" fillId="0" borderId="0" xfId="0" applyNumberFormat="1" applyFont="1" applyAlignment="1">
      <alignment/>
    </xf>
    <xf numFmtId="2" fontId="2" fillId="0" borderId="6" xfId="18" applyNumberFormat="1" applyFont="1" applyFill="1" applyBorder="1" applyAlignment="1">
      <alignment horizontal="left"/>
      <protection/>
    </xf>
    <xf numFmtId="2" fontId="0" fillId="4" borderId="17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2" fontId="0" fillId="3" borderId="16" xfId="0" applyNumberFormat="1" applyFill="1" applyBorder="1" applyAlignment="1">
      <alignment/>
    </xf>
    <xf numFmtId="2" fontId="0" fillId="3" borderId="26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2" fontId="33" fillId="3" borderId="0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Расчет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Кинетическая энергия звена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035"/>
          <c:w val="0.977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Расчеты!$A$178</c:f>
              <c:strCache>
                <c:ptCount val="1"/>
                <c:pt idx="0">
                  <c:v>Екин5=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Расчеты!$B$178:$IV$178</c:f>
              <c:numCache/>
            </c:numRef>
          </c:val>
          <c:smooth val="0"/>
        </c:ser>
        <c:marker val="1"/>
        <c:axId val="63431439"/>
        <c:axId val="44112532"/>
      </c:lineChart>
      <c:catAx>
        <c:axId val="63431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4112532"/>
        <c:crosses val="autoZero"/>
        <c:auto val="1"/>
        <c:lblOffset val="100"/>
        <c:noMultiLvlLbl val="0"/>
      </c:catAx>
      <c:valAx>
        <c:axId val="4411253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343143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348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Траектория точки 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"/>
          <c:w val="0.96175"/>
          <c:h val="0.96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Расчеты!$B$100:$IV$100</c:f>
              <c:numCache>
                <c:ptCount val="26"/>
                <c:pt idx="0">
                  <c:v>11.88015285195977</c:v>
                </c:pt>
                <c:pt idx="1">
                  <c:v>12.246702222781684</c:v>
                </c:pt>
                <c:pt idx="2">
                  <c:v>12.557873418556577</c:v>
                </c:pt>
                <c:pt idx="3">
                  <c:v>12.78621961022832</c:v>
                </c:pt>
                <c:pt idx="4">
                  <c:v>12.92322859153125</c:v>
                </c:pt>
                <c:pt idx="5">
                  <c:v>12.97649194936045</c:v>
                </c:pt>
                <c:pt idx="6">
                  <c:v>12.96540348267832</c:v>
                </c:pt>
                <c:pt idx="7">
                  <c:v>12.915583238663165</c:v>
                </c:pt>
                <c:pt idx="8">
                  <c:v>12.852768314580333</c:v>
                </c:pt>
                <c:pt idx="9">
                  <c:v>12.797436816862925</c:v>
                </c:pt>
                <c:pt idx="10">
                  <c:v>12.761359299980887</c:v>
                </c:pt>
                <c:pt idx="11">
                  <c:v>12.746385412883424</c:v>
                </c:pt>
                <c:pt idx="12">
                  <c:v>12.744644639280422</c:v>
                </c:pt>
                <c:pt idx="13">
                  <c:v>12.738885058322145</c:v>
                </c:pt>
                <c:pt idx="14">
                  <c:v>12.702384314949406</c:v>
                </c:pt>
                <c:pt idx="15">
                  <c:v>12.599916867364572</c:v>
                </c:pt>
                <c:pt idx="16">
                  <c:v>12.394820310566558</c:v>
                </c:pt>
                <c:pt idx="17">
                  <c:v>12.069976833755678</c:v>
                </c:pt>
                <c:pt idx="18">
                  <c:v>11.661607755465837</c:v>
                </c:pt>
                <c:pt idx="19">
                  <c:v>11.274170309418011</c:v>
                </c:pt>
                <c:pt idx="20">
                  <c:v>11.033999714023382</c:v>
                </c:pt>
                <c:pt idx="21">
                  <c:v>11.01086852115129</c:v>
                </c:pt>
                <c:pt idx="22">
                  <c:v>11.190258608909922</c:v>
                </c:pt>
                <c:pt idx="23">
                  <c:v>11.505853801594279</c:v>
                </c:pt>
                <c:pt idx="24">
                  <c:v>11.88015285195977</c:v>
                </c:pt>
              </c:numCache>
            </c:numRef>
          </c:xVal>
          <c:yVal>
            <c:numRef>
              <c:f>Расчеты!$B$101:$IV$101</c:f>
              <c:numCache>
                <c:ptCount val="26"/>
                <c:pt idx="0">
                  <c:v>-0.6626659548018381</c:v>
                </c:pt>
                <c:pt idx="1">
                  <c:v>0.7053149205879521</c:v>
                </c:pt>
                <c:pt idx="2">
                  <c:v>1.8666216330718157</c:v>
                </c:pt>
                <c:pt idx="3">
                  <c:v>2.7188212221056247</c:v>
                </c:pt>
                <c:pt idx="4">
                  <c:v>3.2301457014214137</c:v>
                </c:pt>
                <c:pt idx="5">
                  <c:v>3.4289272590217053</c:v>
                </c:pt>
                <c:pt idx="6">
                  <c:v>3.387544537985967</c:v>
                </c:pt>
                <c:pt idx="7">
                  <c:v>3.2016128560759256</c:v>
                </c:pt>
                <c:pt idx="8">
                  <c:v>2.9671843679252135</c:v>
                </c:pt>
                <c:pt idx="9">
                  <c:v>2.760684407184968</c:v>
                </c:pt>
                <c:pt idx="10">
                  <c:v>2.6260412811702736</c:v>
                </c:pt>
                <c:pt idx="11">
                  <c:v>2.570157973735739</c:v>
                </c:pt>
                <c:pt idx="12">
                  <c:v>2.563661318204865</c:v>
                </c:pt>
                <c:pt idx="13">
                  <c:v>2.542166269438269</c:v>
                </c:pt>
                <c:pt idx="14">
                  <c:v>2.4059436406571706</c:v>
                </c:pt>
                <c:pt idx="15">
                  <c:v>2.0235299201486754</c:v>
                </c:pt>
                <c:pt idx="16">
                  <c:v>1.2580991497210476</c:v>
                </c:pt>
                <c:pt idx="17">
                  <c:v>0.045766789755525394</c:v>
                </c:pt>
                <c:pt idx="18">
                  <c:v>-1.4782873586622358</c:v>
                </c:pt>
                <c:pt idx="19">
                  <c:v>-2.924223592067449</c:v>
                </c:pt>
                <c:pt idx="20">
                  <c:v>-3.820552456564272</c:v>
                </c:pt>
                <c:pt idx="21">
                  <c:v>-3.906879243602596</c:v>
                </c:pt>
                <c:pt idx="22">
                  <c:v>-3.2373863217131387</c:v>
                </c:pt>
                <c:pt idx="23">
                  <c:v>-2.0595690279906265</c:v>
                </c:pt>
                <c:pt idx="24">
                  <c:v>-0.6626659548018381</c:v>
                </c:pt>
              </c:numCache>
            </c:numRef>
          </c:yVal>
          <c:smooth val="1"/>
        </c:ser>
        <c:axId val="40932789"/>
        <c:axId val="13872162"/>
      </c:scatterChart>
      <c:valAx>
        <c:axId val="4093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2162"/>
        <c:crosses val="autoZero"/>
        <c:crossBetween val="midCat"/>
        <c:dispUnits/>
      </c:valAx>
      <c:valAx>
        <c:axId val="13872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32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Траектория центра масс 2-го звена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Расчеты!$A$77</c:f>
              <c:strCache>
                <c:ptCount val="1"/>
                <c:pt idx="0">
                  <c:v>Y(С2)=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Расчеты!$B$76:$IV$76</c:f>
              <c:numCache>
                <c:ptCount val="26"/>
                <c:pt idx="0">
                  <c:v>12</c:v>
                </c:pt>
                <c:pt idx="1">
                  <c:v>12.761884381697394</c:v>
                </c:pt>
                <c:pt idx="2">
                  <c:v>12.742094525525964</c:v>
                </c:pt>
                <c:pt idx="3">
                  <c:v>12.02704042189703</c:v>
                </c:pt>
                <c:pt idx="4">
                  <c:v>10.72382446342884</c:v>
                </c:pt>
                <c:pt idx="5">
                  <c:v>8.950350626076009</c:v>
                </c:pt>
                <c:pt idx="6">
                  <c:v>6.830034288088275</c:v>
                </c:pt>
                <c:pt idx="7">
                  <c:v>4.488419143513939</c:v>
                </c:pt>
                <c:pt idx="8">
                  <c:v>2.051122249138243</c:v>
                </c:pt>
                <c:pt idx="9">
                  <c:v>-0.3572472015394196</c:v>
                </c:pt>
                <c:pt idx="10">
                  <c:v>-2.614163737070051</c:v>
                </c:pt>
                <c:pt idx="11">
                  <c:v>-4.601506275732727</c:v>
                </c:pt>
                <c:pt idx="12">
                  <c:v>-6.209690991748461</c:v>
                </c:pt>
                <c:pt idx="13">
                  <c:v>-7.342930603233149</c:v>
                </c:pt>
                <c:pt idx="14">
                  <c:v>-7.923977113084708</c:v>
                </c:pt>
                <c:pt idx="15">
                  <c:v>-7.8965082985716375</c:v>
                </c:pt>
                <c:pt idx="16">
                  <c:v>-7.224029219842084</c:v>
                </c:pt>
                <c:pt idx="17">
                  <c:v>-5.8866477882508965</c:v>
                </c:pt>
                <c:pt idx="18">
                  <c:v>-3.883723703280622</c:v>
                </c:pt>
                <c:pt idx="19">
                  <c:v>-1.2609266539603015</c:v>
                </c:pt>
                <c:pt idx="20">
                  <c:v>1.8261732689855394</c:v>
                </c:pt>
                <c:pt idx="21">
                  <c:v>5.062336913834898</c:v>
                </c:pt>
                <c:pt idx="22">
                  <c:v>8.03875412796344</c:v>
                </c:pt>
                <c:pt idx="23">
                  <c:v>10.412176973854937</c:v>
                </c:pt>
                <c:pt idx="24">
                  <c:v>12</c:v>
                </c:pt>
              </c:numCache>
            </c:numRef>
          </c:xVal>
          <c:yVal>
            <c:numRef>
              <c:f>Расчеты!$B$77:$IV$77</c:f>
              <c:numCache>
                <c:ptCount val="26"/>
                <c:pt idx="0">
                  <c:v>14.2</c:v>
                </c:pt>
                <c:pt idx="1">
                  <c:v>15.6644213777245</c:v>
                </c:pt>
                <c:pt idx="2">
                  <c:v>17.07199890482347</c:v>
                </c:pt>
                <c:pt idx="3">
                  <c:v>18.339293003953532</c:v>
                </c:pt>
                <c:pt idx="4">
                  <c:v>19.380525726976302</c:v>
                </c:pt>
                <c:pt idx="5">
                  <c:v>20.12145159132041</c:v>
                </c:pt>
                <c:pt idx="6">
                  <c:v>20.507059815159792</c:v>
                </c:pt>
                <c:pt idx="7">
                  <c:v>20.504169704984967</c:v>
                </c:pt>
                <c:pt idx="8">
                  <c:v>20.10095146734743</c:v>
                </c:pt>
                <c:pt idx="9">
                  <c:v>19.305835523564088</c:v>
                </c:pt>
                <c:pt idx="10">
                  <c:v>18.14788403200537</c:v>
                </c:pt>
                <c:pt idx="11">
                  <c:v>16.679209700658944</c:v>
                </c:pt>
                <c:pt idx="12">
                  <c:v>14.978244312238335</c:v>
                </c:pt>
                <c:pt idx="13">
                  <c:v>13.15183194275922</c:v>
                </c:pt>
                <c:pt idx="14">
                  <c:v>11.33448344427261</c:v>
                </c:pt>
                <c:pt idx="15">
                  <c:v>9.683661317748577</c:v>
                </c:pt>
                <c:pt idx="16">
                  <c:v>8.369330320902844</c:v>
                </c:pt>
                <c:pt idx="17">
                  <c:v>7.553427510698093</c:v>
                </c:pt>
                <c:pt idx="18">
                  <c:v>7.352117624956561</c:v>
                </c:pt>
                <c:pt idx="19">
                  <c:v>7.781015454711592</c:v>
                </c:pt>
                <c:pt idx="20">
                  <c:v>8.718577440925033</c:v>
                </c:pt>
                <c:pt idx="21">
                  <c:v>9.955781356433121</c:v>
                </c:pt>
                <c:pt idx="22">
                  <c:v>11.320659887604384</c:v>
                </c:pt>
                <c:pt idx="23">
                  <c:v>12.74172603396032</c:v>
                </c:pt>
                <c:pt idx="24">
                  <c:v>14.199999999999998</c:v>
                </c:pt>
              </c:numCache>
            </c:numRef>
          </c:yVal>
          <c:smooth val="1"/>
        </c:ser>
        <c:axId val="40895515"/>
        <c:axId val="11598448"/>
      </c:scatterChart>
      <c:valAx>
        <c:axId val="4089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98448"/>
        <c:crosses val="autoZero"/>
        <c:crossBetween val="midCat"/>
        <c:dispUnits/>
      </c:valAx>
      <c:valAx>
        <c:axId val="11598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95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Траектория точки К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Расчеты!$A$125</c:f>
              <c:strCache>
                <c:ptCount val="1"/>
                <c:pt idx="0">
                  <c:v>Y(K)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Расчеты!$B$124:$IV$124</c:f>
              <c:numCache>
                <c:ptCount val="26"/>
                <c:pt idx="0">
                  <c:v>15.50361948339506</c:v>
                </c:pt>
                <c:pt idx="1">
                  <c:v>15.870168854216974</c:v>
                </c:pt>
                <c:pt idx="2">
                  <c:v>16.181340049991867</c:v>
                </c:pt>
                <c:pt idx="3">
                  <c:v>16.40968624166361</c:v>
                </c:pt>
                <c:pt idx="4">
                  <c:v>16.54669522296654</c:v>
                </c:pt>
                <c:pt idx="5">
                  <c:v>16.59995858079574</c:v>
                </c:pt>
                <c:pt idx="6">
                  <c:v>16.58887011411361</c:v>
                </c:pt>
                <c:pt idx="7">
                  <c:v>16.539049870098456</c:v>
                </c:pt>
                <c:pt idx="8">
                  <c:v>16.476234946015623</c:v>
                </c:pt>
                <c:pt idx="9">
                  <c:v>16.420903448298215</c:v>
                </c:pt>
                <c:pt idx="10">
                  <c:v>16.384825931416177</c:v>
                </c:pt>
                <c:pt idx="11">
                  <c:v>16.369852044318712</c:v>
                </c:pt>
                <c:pt idx="12">
                  <c:v>16.368111270715712</c:v>
                </c:pt>
                <c:pt idx="13">
                  <c:v>16.362351689757435</c:v>
                </c:pt>
                <c:pt idx="14">
                  <c:v>16.325850946384698</c:v>
                </c:pt>
                <c:pt idx="15">
                  <c:v>16.223383498799862</c:v>
                </c:pt>
                <c:pt idx="16">
                  <c:v>16.01828694200185</c:v>
                </c:pt>
                <c:pt idx="17">
                  <c:v>15.693443465190969</c:v>
                </c:pt>
                <c:pt idx="18">
                  <c:v>15.285074386901128</c:v>
                </c:pt>
                <c:pt idx="19">
                  <c:v>14.897636940853301</c:v>
                </c:pt>
                <c:pt idx="20">
                  <c:v>14.657466345458673</c:v>
                </c:pt>
                <c:pt idx="21">
                  <c:v>14.63433515258658</c:v>
                </c:pt>
                <c:pt idx="22">
                  <c:v>14.813725240345212</c:v>
                </c:pt>
                <c:pt idx="23">
                  <c:v>15.12932043302957</c:v>
                </c:pt>
                <c:pt idx="24">
                  <c:v>15.50361948339506</c:v>
                </c:pt>
              </c:numCache>
            </c:numRef>
          </c:xVal>
          <c:yVal>
            <c:numRef>
              <c:f>Расчеты!$B$125:$IV$125</c:f>
              <c:numCache>
                <c:ptCount val="26"/>
                <c:pt idx="0">
                  <c:v>12.860295613245118</c:v>
                </c:pt>
                <c:pt idx="1">
                  <c:v>14.228276488634908</c:v>
                </c:pt>
                <c:pt idx="2">
                  <c:v>15.389583201118771</c:v>
                </c:pt>
                <c:pt idx="3">
                  <c:v>16.24178279015258</c:v>
                </c:pt>
                <c:pt idx="4">
                  <c:v>16.75310726946837</c:v>
                </c:pt>
                <c:pt idx="5">
                  <c:v>16.95188882706866</c:v>
                </c:pt>
                <c:pt idx="6">
                  <c:v>16.910506106032923</c:v>
                </c:pt>
                <c:pt idx="7">
                  <c:v>16.72457442412288</c:v>
                </c:pt>
                <c:pt idx="8">
                  <c:v>16.49014593597217</c:v>
                </c:pt>
                <c:pt idx="9">
                  <c:v>16.283645975231924</c:v>
                </c:pt>
                <c:pt idx="10">
                  <c:v>16.14900284921723</c:v>
                </c:pt>
                <c:pt idx="11">
                  <c:v>16.093119541782695</c:v>
                </c:pt>
                <c:pt idx="12">
                  <c:v>16.08662288625182</c:v>
                </c:pt>
                <c:pt idx="13">
                  <c:v>16.065127837485225</c:v>
                </c:pt>
                <c:pt idx="14">
                  <c:v>15.928905208704126</c:v>
                </c:pt>
                <c:pt idx="15">
                  <c:v>15.546491488195631</c:v>
                </c:pt>
                <c:pt idx="16">
                  <c:v>14.781060717768003</c:v>
                </c:pt>
                <c:pt idx="17">
                  <c:v>13.568728357802481</c:v>
                </c:pt>
                <c:pt idx="18">
                  <c:v>12.04467420938472</c:v>
                </c:pt>
                <c:pt idx="19">
                  <c:v>10.598737975979507</c:v>
                </c:pt>
                <c:pt idx="20">
                  <c:v>9.702409111482684</c:v>
                </c:pt>
                <c:pt idx="21">
                  <c:v>9.61608232444436</c:v>
                </c:pt>
                <c:pt idx="22">
                  <c:v>10.285575246333817</c:v>
                </c:pt>
                <c:pt idx="23">
                  <c:v>11.46339254005633</c:v>
                </c:pt>
                <c:pt idx="24">
                  <c:v>12.860295613245118</c:v>
                </c:pt>
              </c:numCache>
            </c:numRef>
          </c:yVal>
          <c:smooth val="1"/>
        </c:ser>
        <c:axId val="36416689"/>
        <c:axId val="6825518"/>
      </c:scatterChart>
      <c:valAx>
        <c:axId val="36416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25518"/>
        <c:crosses val="autoZero"/>
        <c:crossBetween val="midCat"/>
        <c:dispUnits/>
      </c:valAx>
      <c:valAx>
        <c:axId val="6825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16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Траектория центра масс звена 3</a:t>
            </a:r>
          </a:p>
        </c:rich>
      </c:tx>
      <c:layout>
        <c:manualLayout>
          <c:xMode val="factor"/>
          <c:yMode val="factor"/>
          <c:x val="-0.078"/>
          <c:y val="0.6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"/>
          <c:w val="0.916"/>
          <c:h val="0.9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Расчеты!$A$93</c:f>
              <c:strCache>
                <c:ptCount val="1"/>
                <c:pt idx="0">
                  <c:v>(Y)C3=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Расчеты!$B$92:$IV$92</c:f>
              <c:numCache>
                <c:ptCount val="26"/>
                <c:pt idx="0">
                  <c:v>34.5</c:v>
                </c:pt>
                <c:pt idx="1">
                  <c:v>33.735013056705824</c:v>
                </c:pt>
                <c:pt idx="2">
                  <c:v>32.27018645451495</c:v>
                </c:pt>
                <c:pt idx="3">
                  <c:v>30.2674661884347</c:v>
                </c:pt>
                <c:pt idx="4">
                  <c:v>27.88992929627366</c:v>
                </c:pt>
                <c:pt idx="5">
                  <c:v>25.305664636109654</c:v>
                </c:pt>
                <c:pt idx="6">
                  <c:v>22.682821989499317</c:v>
                </c:pt>
                <c:pt idx="7">
                  <c:v>20.17802465179495</c:v>
                </c:pt>
                <c:pt idx="8">
                  <c:v>17.923020903689455</c:v>
                </c:pt>
                <c:pt idx="9">
                  <c:v>16.015151522560515</c:v>
                </c:pt>
                <c:pt idx="10">
                  <c:v>14.515846009036771</c:v>
                </c:pt>
                <c:pt idx="11">
                  <c:v>13.457900022106589</c:v>
                </c:pt>
                <c:pt idx="12">
                  <c:v>12.858647352125352</c:v>
                </c:pt>
                <c:pt idx="13">
                  <c:v>12.734683942345253</c:v>
                </c:pt>
                <c:pt idx="14">
                  <c:v>13.114644600037572</c:v>
                </c:pt>
                <c:pt idx="15">
                  <c:v>14.047447998689222</c:v>
                </c:pt>
                <c:pt idx="16">
                  <c:v>15.601677969132325</c:v>
                </c:pt>
                <c:pt idx="17">
                  <c:v>17.845421596970056</c:v>
                </c:pt>
                <c:pt idx="18">
                  <c:v>20.78740725500942</c:v>
                </c:pt>
                <c:pt idx="19">
                  <c:v>24.27050136999241</c:v>
                </c:pt>
                <c:pt idx="20">
                  <c:v>27.88196268941719</c:v>
                </c:pt>
                <c:pt idx="21">
                  <c:v>31.038449362303812</c:v>
                </c:pt>
                <c:pt idx="22">
                  <c:v>33.266773158247126</c:v>
                </c:pt>
                <c:pt idx="23">
                  <c:v>34.39718655993744</c:v>
                </c:pt>
                <c:pt idx="24">
                  <c:v>34.5</c:v>
                </c:pt>
              </c:numCache>
            </c:numRef>
          </c:xVal>
          <c:yVal>
            <c:numRef>
              <c:f>Расчеты!$B$93:$IV$93</c:f>
              <c:numCache>
                <c:ptCount val="26"/>
                <c:pt idx="0">
                  <c:v>7</c:v>
                </c:pt>
                <c:pt idx="1">
                  <c:v>7.586384554795181</c:v>
                </c:pt>
                <c:pt idx="2">
                  <c:v>8.622693991033035</c:v>
                </c:pt>
                <c:pt idx="3">
                  <c:v>9.872851418017074</c:v>
                </c:pt>
                <c:pt idx="4">
                  <c:v>11.13464380377767</c:v>
                </c:pt>
                <c:pt idx="5">
                  <c:v>12.26220425487314</c:v>
                </c:pt>
                <c:pt idx="6">
                  <c:v>13.171588926773737</c:v>
                </c:pt>
                <c:pt idx="7">
                  <c:v>13.835895074059973</c:v>
                </c:pt>
                <c:pt idx="8">
                  <c:v>14.272841209775946</c:v>
                </c:pt>
                <c:pt idx="9">
                  <c:v>14.527707418419952</c:v>
                </c:pt>
                <c:pt idx="10">
                  <c:v>14.65576250425554</c:v>
                </c:pt>
                <c:pt idx="11">
                  <c:v>14.708300258890091</c:v>
                </c:pt>
                <c:pt idx="12">
                  <c:v>14.72424438715597</c:v>
                </c:pt>
                <c:pt idx="13">
                  <c:v>14.726297521141387</c:v>
                </c:pt>
                <c:pt idx="14">
                  <c:v>14.718653851242443</c:v>
                </c:pt>
                <c:pt idx="15">
                  <c:v>14.682870034116778</c:v>
                </c:pt>
                <c:pt idx="16">
                  <c:v>14.569326547822444</c:v>
                </c:pt>
                <c:pt idx="17">
                  <c:v>14.28523872327491</c:v>
                </c:pt>
                <c:pt idx="18">
                  <c:v>13.691948168637476</c:v>
                </c:pt>
                <c:pt idx="19">
                  <c:v>12.648239964348836</c:v>
                </c:pt>
                <c:pt idx="20">
                  <c:v>11.138496361695424</c:v>
                </c:pt>
                <c:pt idx="21">
                  <c:v>9.41307255264304</c:v>
                </c:pt>
                <c:pt idx="22">
                  <c:v>7.92962655763769</c:v>
                </c:pt>
                <c:pt idx="23">
                  <c:v>7.080713677131744</c:v>
                </c:pt>
                <c:pt idx="24">
                  <c:v>7</c:v>
                </c:pt>
              </c:numCache>
            </c:numRef>
          </c:yVal>
          <c:smooth val="1"/>
        </c:ser>
        <c:axId val="13703415"/>
        <c:axId val="30601948"/>
      </c:scatterChart>
      <c:valAx>
        <c:axId val="13703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01948"/>
        <c:crosses val="autoZero"/>
        <c:crossBetween val="midCat"/>
        <c:dispUnits/>
      </c:valAx>
      <c:valAx>
        <c:axId val="30601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0341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229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План скоростей точки 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"/>
          <c:w val="0.9475"/>
          <c:h val="0.9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Расчеты!$A$37</c:f>
              <c:strCache>
                <c:ptCount val="1"/>
                <c:pt idx="0">
                  <c:v>(Y_t)A=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Расчеты!$B$36:$IV$36</c:f>
              <c:numCache>
                <c:ptCount val="26"/>
                <c:pt idx="0">
                  <c:v>0</c:v>
                </c:pt>
                <c:pt idx="1">
                  <c:v>-1.8490032582124083</c:v>
                </c:pt>
                <c:pt idx="2">
                  <c:v>-3.5813514741321852</c:v>
                </c:pt>
                <c:pt idx="3">
                  <c:v>-5.091245789434448</c:v>
                </c:pt>
                <c:pt idx="4">
                  <c:v>-6.283941974010464</c:v>
                </c:pt>
                <c:pt idx="5">
                  <c:v>-7.080526067010178</c:v>
                </c:pt>
                <c:pt idx="6">
                  <c:v>-7.422370373125797</c:v>
                </c:pt>
                <c:pt idx="7">
                  <c:v>-7.275098361582367</c:v>
                </c:pt>
                <c:pt idx="8">
                  <c:v>-6.631803093491694</c:v>
                </c:pt>
                <c:pt idx="9">
                  <c:v>-5.515197795269225</c:v>
                </c:pt>
                <c:pt idx="10">
                  <c:v>-3.97835064189262</c:v>
                </c:pt>
                <c:pt idx="11">
                  <c:v>-2.1036833751125488</c:v>
                </c:pt>
                <c:pt idx="12">
                  <c:v>-1.0184324923388904E-15</c:v>
                </c:pt>
                <c:pt idx="13">
                  <c:v>2.2025478965699987</c:v>
                </c:pt>
                <c:pt idx="14">
                  <c:v>4.359472950579104</c:v>
                </c:pt>
                <c:pt idx="15">
                  <c:v>6.320655978536464</c:v>
                </c:pt>
                <c:pt idx="16">
                  <c:v>7.940262648159129</c:v>
                </c:pt>
                <c:pt idx="17">
                  <c:v>9.087226123488911</c:v>
                </c:pt>
                <c:pt idx="18">
                  <c:v>9.655528791555014</c:v>
                </c:pt>
                <c:pt idx="19">
                  <c:v>9.57345825850018</c:v>
                </c:pt>
                <c:pt idx="20">
                  <c:v>8.811026105800162</c:v>
                </c:pt>
                <c:pt idx="21">
                  <c:v>7.384824725310385</c:v>
                </c:pt>
                <c:pt idx="22">
                  <c:v>5.359753511428872</c:v>
                </c:pt>
                <c:pt idx="23">
                  <c:v>2.8472601702230502</c:v>
                </c:pt>
                <c:pt idx="24">
                  <c:v>2.76581018705628E-15</c:v>
                </c:pt>
              </c:numCache>
            </c:numRef>
          </c:xVal>
          <c:yVal>
            <c:numRef>
              <c:f>Расчеты!$B$37:$IV$37</c:f>
              <c:numCache>
                <c:ptCount val="26"/>
                <c:pt idx="0">
                  <c:v>7.144</c:v>
                </c:pt>
                <c:pt idx="1">
                  <c:v>6.900574103009104</c:v>
                </c:pt>
                <c:pt idx="2">
                  <c:v>6.203082712958642</c:v>
                </c:pt>
                <c:pt idx="3">
                  <c:v>5.091245789434449</c:v>
                </c:pt>
                <c:pt idx="4">
                  <c:v>3.628035590266931</c:v>
                </c:pt>
                <c:pt idx="5">
                  <c:v>1.8972212416428904</c:v>
                </c:pt>
                <c:pt idx="6">
                  <c:v>4.546752797197294E-16</c:v>
                </c:pt>
                <c:pt idx="7">
                  <c:v>-1.9493567308429798</c:v>
                </c:pt>
                <c:pt idx="8">
                  <c:v>-3.8288733012400207</c:v>
                </c:pt>
                <c:pt idx="9">
                  <c:v>-5.515197795269224</c:v>
                </c:pt>
                <c:pt idx="10">
                  <c:v>-6.890705442082275</c:v>
                </c:pt>
                <c:pt idx="11">
                  <c:v>-7.851053238958001</c:v>
                </c:pt>
                <c:pt idx="12">
                  <c:v>-8.31272723120605</c:v>
                </c:pt>
                <c:pt idx="13">
                  <c:v>-8.220020656103197</c:v>
                </c:pt>
                <c:pt idx="14">
                  <c:v>-7.550828644625209</c:v>
                </c:pt>
                <c:pt idx="15">
                  <c:v>-6.3206559785364655</c:v>
                </c:pt>
                <c:pt idx="16">
                  <c:v>-4.58431277735101</c:v>
                </c:pt>
                <c:pt idx="17">
                  <c:v>-2.434914901227854</c:v>
                </c:pt>
                <c:pt idx="18">
                  <c:v>-1.7744184270448979E-15</c:v>
                </c:pt>
                <c:pt idx="19">
                  <c:v>2.5652004091381806</c:v>
                </c:pt>
                <c:pt idx="20">
                  <c:v>5.087048294020545</c:v>
                </c:pt>
                <c:pt idx="21">
                  <c:v>7.3848247253103825</c:v>
                </c:pt>
                <c:pt idx="22">
                  <c:v>9.283365397840493</c:v>
                </c:pt>
                <c:pt idx="23">
                  <c:v>10.626119617639636</c:v>
                </c:pt>
                <c:pt idx="24">
                  <c:v>11.287653247142908</c:v>
                </c:pt>
              </c:numCache>
            </c:numRef>
          </c:yVal>
          <c:smooth val="1"/>
        </c:ser>
        <c:axId val="54779501"/>
        <c:axId val="53215226"/>
      </c:scatterChart>
      <c:valAx>
        <c:axId val="54779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15226"/>
        <c:crosses val="autoZero"/>
        <c:crossBetween val="midCat"/>
        <c:dispUnits/>
      </c:valAx>
      <c:valAx>
        <c:axId val="53215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79501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16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План ускорений точки А</a:t>
            </a:r>
          </a:p>
        </c:rich>
      </c:tx>
      <c:layout>
        <c:manualLayout>
          <c:xMode val="factor"/>
          <c:yMode val="factor"/>
          <c:x val="0.10675"/>
          <c:y val="0.2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"/>
          <c:w val="0.96475"/>
          <c:h val="0.9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Расчеты!$A$39</c:f>
              <c:strCache>
                <c:ptCount val="1"/>
                <c:pt idx="0">
                  <c:v>(Y_tt)A=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Расчеты!$B$38:$IV$38</c:f>
              <c:numCache>
                <c:ptCount val="26"/>
                <c:pt idx="0">
                  <c:v>-7.144</c:v>
                </c:pt>
                <c:pt idx="1">
                  <c:v>-6.919064135591229</c:v>
                </c:pt>
                <c:pt idx="2">
                  <c:v>-6.290762345525843</c:v>
                </c:pt>
                <c:pt idx="3">
                  <c:v>-5.2827794657026175</c:v>
                </c:pt>
                <c:pt idx="4">
                  <c:v>-3.9324256557358095</c:v>
                </c:pt>
                <c:pt idx="5">
                  <c:v>-2.2917253503585817</c:v>
                </c:pt>
                <c:pt idx="6">
                  <c:v>-0.4286400000000005</c:v>
                </c:pt>
                <c:pt idx="7">
                  <c:v>1.572116636989126</c:v>
                </c:pt>
                <c:pt idx="8">
                  <c:v>3.6092682981128412</c:v>
                </c:pt>
                <c:pt idx="9">
                  <c:v>5.566734480207861</c:v>
                </c:pt>
                <c:pt idx="10">
                  <c:v>7.317391942497479</c:v>
                </c:pt>
                <c:pt idx="11">
                  <c:v>8.729060194380969</c:v>
                </c:pt>
                <c:pt idx="12">
                  <c:v>9.672653138358708</c:v>
                </c:pt>
                <c:pt idx="13">
                  <c:v>10.032126671399052</c:v>
                </c:pt>
                <c:pt idx="14">
                  <c:v>9.715542830543523</c:v>
                </c:pt>
                <c:pt idx="15">
                  <c:v>8.666303718991129</c:v>
                </c:pt>
                <c:pt idx="16">
                  <c:v>6.873418934144147</c:v>
                </c:pt>
                <c:pt idx="17">
                  <c:v>4.37958766176019</c:v>
                </c:pt>
                <c:pt idx="18">
                  <c:v>1.2859200000000026</c:v>
                </c:pt>
                <c:pt idx="19">
                  <c:v>-2.247701922959656</c:v>
                </c:pt>
                <c:pt idx="20">
                  <c:v>-6.007320648228822</c:v>
                </c:pt>
                <c:pt idx="21">
                  <c:v>-9.734947891349375</c:v>
                </c:pt>
                <c:pt idx="22">
                  <c:v>-13.143765344051744</c:v>
                </c:pt>
                <c:pt idx="23">
                  <c:v>-15.937776214942392</c:v>
                </c:pt>
                <c:pt idx="24">
                  <c:v>-17.834702663456863</c:v>
                </c:pt>
              </c:numCache>
            </c:numRef>
          </c:xVal>
          <c:yVal>
            <c:numRef>
              <c:f>Расчеты!$B$39:$IV$39</c:f>
              <c:numCache>
                <c:ptCount val="26"/>
                <c:pt idx="0">
                  <c:v>0</c:v>
                </c:pt>
                <c:pt idx="1">
                  <c:v>-1.7799975171823172</c:v>
                </c:pt>
                <c:pt idx="2">
                  <c:v>-3.4669897206736784</c:v>
                </c:pt>
                <c:pt idx="3">
                  <c:v>-4.979685215014816</c:v>
                </c:pt>
                <c:pt idx="4">
                  <c:v>-6.239641032721778</c:v>
                </c:pt>
                <c:pt idx="5">
                  <c:v>-7.172720623929993</c:v>
                </c:pt>
                <c:pt idx="6">
                  <c:v>-7.711587619800613</c:v>
                </c:pt>
                <c:pt idx="7">
                  <c:v>-7.799379913510282</c:v>
                </c:pt>
                <c:pt idx="8">
                  <c:v>-7.394476070479097</c:v>
                </c:pt>
                <c:pt idx="9">
                  <c:v>-6.476017232271267</c:v>
                </c:pt>
                <c:pt idx="10">
                  <c:v>-5.049616272385054</c:v>
                </c:pt>
                <c:pt idx="11">
                  <c:v>-3.1525060633805015</c:v>
                </c:pt>
                <c:pt idx="12">
                  <c:v>-0.8572800000000012</c:v>
                </c:pt>
                <c:pt idx="13">
                  <c:v>1.7266185456976504</c:v>
                </c:pt>
                <c:pt idx="14">
                  <c:v>4.454385978072252</c:v>
                </c:pt>
                <c:pt idx="15">
                  <c:v>7.150832465552118</c:v>
                </c:pt>
                <c:pt idx="16">
                  <c:v>9.619030815643569</c:v>
                </c:pt>
                <c:pt idx="17">
                  <c:v>11.652453279844623</c:v>
                </c:pt>
                <c:pt idx="18">
                  <c:v>13.050005073424947</c:v>
                </c:pt>
                <c:pt idx="19">
                  <c:v>13.632974095042648</c:v>
                </c:pt>
                <c:pt idx="20">
                  <c:v>13.262584580089918</c:v>
                </c:pt>
                <c:pt idx="21">
                  <c:v>11.85660764616399</c:v>
                </c:pt>
                <c:pt idx="22">
                  <c:v>9.40337620171346</c:v>
                </c:pt>
                <c:pt idx="23">
                  <c:v>5.971597263497184</c:v>
                </c:pt>
                <c:pt idx="24">
                  <c:v>1.714560000000005</c:v>
                </c:pt>
              </c:numCache>
            </c:numRef>
          </c:yVal>
          <c:smooth val="1"/>
        </c:ser>
        <c:axId val="24903315"/>
        <c:axId val="42707208"/>
      </c:scatterChart>
      <c:valAx>
        <c:axId val="2490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07208"/>
        <c:crosses val="autoZero"/>
        <c:crossBetween val="midCat"/>
        <c:dispUnits/>
      </c:valAx>
      <c:valAx>
        <c:axId val="42707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033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75"/>
          <c:y val="0.41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План скоростей С2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7975"/>
          <c:w val="0.9665"/>
          <c:h val="0.8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Расчеты!$A$79</c:f>
              <c:strCache>
                <c:ptCount val="1"/>
                <c:pt idx="0">
                  <c:v>Y_t(С2)=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Расчеты!$B$78:$IV$78</c:f>
              <c:numCache>
                <c:ptCount val="26"/>
                <c:pt idx="0">
                  <c:v>4.479367087853946</c:v>
                </c:pt>
                <c:pt idx="1">
                  <c:v>1.3718656024360885</c:v>
                </c:pt>
                <c:pt idx="2">
                  <c:v>-1.4706207002948442</c:v>
                </c:pt>
                <c:pt idx="3">
                  <c:v>-3.9579228309457486</c:v>
                </c:pt>
                <c:pt idx="4">
                  <c:v>-6.046774034661182</c:v>
                </c:pt>
                <c:pt idx="5">
                  <c:v>-7.712185362262192</c:v>
                </c:pt>
                <c:pt idx="6">
                  <c:v>-8.93696548680874</c:v>
                </c:pt>
                <c:pt idx="7">
                  <c:v>-9.706494203679107</c:v>
                </c:pt>
                <c:pt idx="8">
                  <c:v>-10.004584183536522</c:v>
                </c:pt>
                <c:pt idx="9">
                  <c:v>-9.81187238174824</c:v>
                </c:pt>
                <c:pt idx="10">
                  <c:v>-9.109501073443942</c:v>
                </c:pt>
                <c:pt idx="11">
                  <c:v>-7.887959220296301</c:v>
                </c:pt>
                <c:pt idx="12">
                  <c:v>-6.156950150148441</c:v>
                </c:pt>
                <c:pt idx="13">
                  <c:v>-3.9508288304895265</c:v>
                </c:pt>
                <c:pt idx="14">
                  <c:v>-1.3259435885463713</c:v>
                </c:pt>
                <c:pt idx="15">
                  <c:v>1.6506725784017098</c:v>
                </c:pt>
                <c:pt idx="16">
                  <c:v>4.916417804414904</c:v>
                </c:pt>
                <c:pt idx="17">
                  <c:v>8.412206670684972</c:v>
                </c:pt>
                <c:pt idx="18">
                  <c:v>12.013445112199399</c:v>
                </c:pt>
                <c:pt idx="19">
                  <c:v>15.335089367270154</c:v>
                </c:pt>
                <c:pt idx="20">
                  <c:v>17.552789593143473</c:v>
                </c:pt>
                <c:pt idx="21">
                  <c:v>17.725174831780098</c:v>
                </c:pt>
                <c:pt idx="22">
                  <c:v>15.587616612703776</c:v>
                </c:pt>
                <c:pt idx="23">
                  <c:v>11.748101913583659</c:v>
                </c:pt>
                <c:pt idx="24">
                  <c:v>7.077483546242961</c:v>
                </c:pt>
              </c:numCache>
            </c:numRef>
          </c:xVal>
          <c:yVal>
            <c:numRef>
              <c:f>Расчеты!$B$79:$IV$79</c:f>
              <c:numCache>
                <c:ptCount val="26"/>
                <c:pt idx="0">
                  <c:v>5.612182635308538</c:v>
                </c:pt>
                <c:pt idx="1">
                  <c:v>5.534092712730864</c:v>
                </c:pt>
                <c:pt idx="2">
                  <c:v>5.178172892662321</c:v>
                </c:pt>
                <c:pt idx="3">
                  <c:v>4.496301093625961</c:v>
                </c:pt>
                <c:pt idx="4">
                  <c:v>3.499474901978955</c:v>
                </c:pt>
                <c:pt idx="5">
                  <c:v>2.236505232262292</c:v>
                </c:pt>
                <c:pt idx="6">
                  <c:v>0.7741293313145112</c:v>
                </c:pt>
                <c:pt idx="7">
                  <c:v>-0.8166574851428121</c:v>
                </c:pt>
                <c:pt idx="8">
                  <c:v>-2.4658238222114592</c:v>
                </c:pt>
                <c:pt idx="9">
                  <c:v>-4.100184004432609</c:v>
                </c:pt>
                <c:pt idx="10">
                  <c:v>-5.63299972100336</c:v>
                </c:pt>
                <c:pt idx="11">
                  <c:v>-6.95433999687585</c:v>
                </c:pt>
                <c:pt idx="12">
                  <c:v>-7.928670604226135</c:v>
                </c:pt>
                <c:pt idx="13">
                  <c:v>-8.401476298877396</c:v>
                </c:pt>
                <c:pt idx="14">
                  <c:v>-8.213365151728306</c:v>
                </c:pt>
                <c:pt idx="15">
                  <c:v>-7.222291632253624</c:v>
                </c:pt>
                <c:pt idx="16">
                  <c:v>-5.342969414017569</c:v>
                </c:pt>
                <c:pt idx="17">
                  <c:v>-2.623477810941295</c:v>
                </c:pt>
                <c:pt idx="18">
                  <c:v>0.6317205573079253</c:v>
                </c:pt>
                <c:pt idx="19">
                  <c:v>3.7856587837319418</c:v>
                </c:pt>
                <c:pt idx="20">
                  <c:v>6.110941644306121</c:v>
                </c:pt>
                <c:pt idx="21">
                  <c:v>7.377406699689826</c:v>
                </c:pt>
                <c:pt idx="22">
                  <c:v>8.011553706145222</c:v>
                </c:pt>
                <c:pt idx="23">
                  <c:v>8.483922281712289</c:v>
                </c:pt>
                <c:pt idx="24">
                  <c:v>8.867353240061513</c:v>
                </c:pt>
              </c:numCache>
            </c:numRef>
          </c:yVal>
          <c:smooth val="1"/>
        </c:ser>
        <c:axId val="55002857"/>
        <c:axId val="66839942"/>
      </c:scatterChart>
      <c:valAx>
        <c:axId val="5500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39942"/>
        <c:crosses val="autoZero"/>
        <c:crossBetween val="midCat"/>
        <c:dispUnits/>
      </c:valAx>
      <c:valAx>
        <c:axId val="66839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0285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7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План ускорений точки С2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62"/>
          <c:w val="0.9665"/>
          <c:h val="0.89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Расчеты!$A$81</c:f>
              <c:strCache>
                <c:ptCount val="1"/>
                <c:pt idx="0">
                  <c:v>Y_tt(С2)=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Расчеты!$B$80:$IV$80</c:f>
              <c:numCache>
                <c:ptCount val="26"/>
                <c:pt idx="0">
                  <c:v>-12.149598232904962</c:v>
                </c:pt>
                <c:pt idx="1">
                  <c:v>-11.438695962718219</c:v>
                </c:pt>
                <c:pt idx="2">
                  <c:v>-10.250139616670745</c:v>
                </c:pt>
                <c:pt idx="3">
                  <c:v>-8.847272455964577</c:v>
                </c:pt>
                <c:pt idx="4">
                  <c:v>-7.322920378792734</c:v>
                </c:pt>
                <c:pt idx="5">
                  <c:v>-5.706202721843135</c:v>
                </c:pt>
                <c:pt idx="6">
                  <c:v>-4.001341629986158</c:v>
                </c:pt>
                <c:pt idx="7">
                  <c:v>-2.194770069409718</c:v>
                </c:pt>
                <c:pt idx="8">
                  <c:v>-0.25907121356055923</c:v>
                </c:pt>
                <c:pt idx="9">
                  <c:v>1.8311163311479062</c:v>
                </c:pt>
                <c:pt idx="10">
                  <c:v>4.073633835379874</c:v>
                </c:pt>
                <c:pt idx="11">
                  <c:v>6.420093968080454</c:v>
                </c:pt>
                <c:pt idx="12">
                  <c:v>8.778422213570913</c:v>
                </c:pt>
                <c:pt idx="13">
                  <c:v>11.037994516301774</c:v>
                </c:pt>
                <c:pt idx="14">
                  <c:v>13.109059184793626</c:v>
                </c:pt>
                <c:pt idx="15">
                  <c:v>14.961860289578805</c:v>
                </c:pt>
                <c:pt idx="16">
                  <c:v>16.62404895988268</c:v>
                </c:pt>
                <c:pt idx="17">
                  <c:v>18.009899632042274</c:v>
                </c:pt>
                <c:pt idx="18">
                  <c:v>18.3638364813858</c:v>
                </c:pt>
                <c:pt idx="19">
                  <c:v>15.556648647060864</c:v>
                </c:pt>
                <c:pt idx="20">
                  <c:v>7.149448051470457</c:v>
                </c:pt>
                <c:pt idx="21">
                  <c:v>-5.756466828558033</c:v>
                </c:pt>
                <c:pt idx="22">
                  <c:v>-18.01272998175631</c:v>
                </c:pt>
                <c:pt idx="23">
                  <c:v>-25.84650669259734</c:v>
                </c:pt>
                <c:pt idx="24">
                  <c:v>-29.255925018220893</c:v>
                </c:pt>
              </c:numCache>
            </c:numRef>
          </c:xVal>
          <c:yVal>
            <c:numRef>
              <c:f>Расчеты!$B$81:$IV$81</c:f>
              <c:numCache>
                <c:ptCount val="26"/>
                <c:pt idx="0">
                  <c:v>0.13352049806106003</c:v>
                </c:pt>
                <c:pt idx="1">
                  <c:v>-0.7485631622112703</c:v>
                </c:pt>
                <c:pt idx="2">
                  <c:v>-1.9522546981817073</c:v>
                </c:pt>
                <c:pt idx="3">
                  <c:v>-3.2317835044085164</c:v>
                </c:pt>
                <c:pt idx="4">
                  <c:v>-4.407284974999802</c:v>
                </c:pt>
                <c:pt idx="5">
                  <c:v>-5.377583892345001</c:v>
                </c:pt>
                <c:pt idx="6">
                  <c:v>-6.102046066336914</c:v>
                </c:pt>
                <c:pt idx="7">
                  <c:v>-6.573405592919642</c:v>
                </c:pt>
                <c:pt idx="8">
                  <c:v>-6.782247421983983</c:v>
                </c:pt>
                <c:pt idx="9">
                  <c:v>-6.681392675832375</c:v>
                </c:pt>
                <c:pt idx="10">
                  <c:v>-6.1693756820416565</c:v>
                </c:pt>
                <c:pt idx="11">
                  <c:v>-5.104837060181514</c:v>
                </c:pt>
                <c:pt idx="12">
                  <c:v>-3.342220548422103</c:v>
                </c:pt>
                <c:pt idx="13">
                  <c:v>-0.7700437143762084</c:v>
                </c:pt>
                <c:pt idx="14">
                  <c:v>2.65194430246984</c:v>
                </c:pt>
                <c:pt idx="15">
                  <c:v>6.8311071244380805</c:v>
                </c:pt>
                <c:pt idx="16">
                  <c:v>11.39767909761107</c:v>
                </c:pt>
                <c:pt idx="17">
                  <c:v>15.426020544789386</c:v>
                </c:pt>
                <c:pt idx="18">
                  <c:v>17.214366205524904</c:v>
                </c:pt>
                <c:pt idx="19">
                  <c:v>15.04183862197506</c:v>
                </c:pt>
                <c:pt idx="20">
                  <c:v>9.60638495423046</c:v>
                </c:pt>
                <c:pt idx="21">
                  <c:v>4.7290526638469945</c:v>
                </c:pt>
                <c:pt idx="22">
                  <c:v>2.8759991990042773</c:v>
                </c:pt>
                <c:pt idx="23">
                  <c:v>2.6120347774101838</c:v>
                </c:pt>
                <c:pt idx="24">
                  <c:v>1.6802522734588874</c:v>
                </c:pt>
              </c:numCache>
            </c:numRef>
          </c:yVal>
          <c:smooth val="1"/>
        </c:ser>
        <c:axId val="50704623"/>
        <c:axId val="5974260"/>
      </c:scatterChart>
      <c:valAx>
        <c:axId val="5070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74260"/>
        <c:crosses val="autoZero"/>
        <c:crossBetween val="midCat"/>
        <c:dispUnits/>
      </c:valAx>
      <c:valAx>
        <c:axId val="5974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0462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31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План скоростей точки С3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775"/>
          <c:w val="0.96725"/>
          <c:h val="0.8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Расчеты!$A$95</c:f>
              <c:strCache>
                <c:ptCount val="1"/>
                <c:pt idx="0">
                  <c:v>(Y_t)C3=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Расчеты!$B$94:$IV$94</c:f>
              <c:numCache>
                <c:ptCount val="26"/>
                <c:pt idx="0">
                  <c:v>-1.3736814160342596</c:v>
                </c:pt>
                <c:pt idx="1">
                  <c:v>-4.363051818320966</c:v>
                </c:pt>
                <c:pt idx="2">
                  <c:v>-6.742563997497604</c:v>
                </c:pt>
                <c:pt idx="3">
                  <c:v>-8.537691014602476</c:v>
                </c:pt>
                <c:pt idx="4">
                  <c:v>-9.734892228404807</c:v>
                </c:pt>
                <c:pt idx="5">
                  <c:v>-10.312042095038525</c:v>
                </c:pt>
                <c:pt idx="6">
                  <c:v>-10.271699997551082</c:v>
                </c:pt>
                <c:pt idx="7">
                  <c:v>-9.661635684759553</c:v>
                </c:pt>
                <c:pt idx="8">
                  <c:v>-8.575985642575846</c:v>
                </c:pt>
                <c:pt idx="9">
                  <c:v>-7.135646737408359</c:v>
                </c:pt>
                <c:pt idx="10">
                  <c:v>-5.455257872940454</c:v>
                </c:pt>
                <c:pt idx="11">
                  <c:v>-3.611173878733293</c:v>
                </c:pt>
                <c:pt idx="12">
                  <c:v>-1.6223193230763482</c:v>
                </c:pt>
                <c:pt idx="13">
                  <c:v>0.5537826213368642</c:v>
                </c:pt>
                <c:pt idx="14">
                  <c:v>3.0131700643567094</c:v>
                </c:pt>
                <c:pt idx="15">
                  <c:v>5.883215621616282</c:v>
                </c:pt>
                <c:pt idx="16">
                  <c:v>9.264094518273454</c:v>
                </c:pt>
                <c:pt idx="17">
                  <c:v>13.083646652688454</c:v>
                </c:pt>
                <c:pt idx="18">
                  <c:v>16.82323046251611</c:v>
                </c:pt>
                <c:pt idx="19">
                  <c:v>19.276056528295236</c:v>
                </c:pt>
                <c:pt idx="20">
                  <c:v>18.944595905488633</c:v>
                </c:pt>
                <c:pt idx="21">
                  <c:v>15.343588303174773</c:v>
                </c:pt>
                <c:pt idx="22">
                  <c:v>9.641997357785053</c:v>
                </c:pt>
                <c:pt idx="23">
                  <c:v>3.4889605326002644</c:v>
                </c:pt>
                <c:pt idx="24">
                  <c:v>-2.1704422587120633</c:v>
                </c:pt>
              </c:numCache>
            </c:numRef>
          </c:xVal>
          <c:yVal>
            <c:numRef>
              <c:f>Расчеты!$B$95:$IV$95</c:f>
              <c:numCache>
                <c:ptCount val="26"/>
                <c:pt idx="0">
                  <c:v>1.0824415398432505</c:v>
                </c:pt>
                <c:pt idx="1">
                  <c:v>3.252687358516414</c:v>
                </c:pt>
                <c:pt idx="2">
                  <c:v>4.522471026566973</c:v>
                </c:pt>
                <c:pt idx="3">
                  <c:v>4.948358482358083</c:v>
                </c:pt>
                <c:pt idx="4">
                  <c:v>4.709155176624005</c:v>
                </c:pt>
                <c:pt idx="5">
                  <c:v>4.026736872963213</c:v>
                </c:pt>
                <c:pt idx="6">
                  <c:v>3.1236274844365353</c:v>
                </c:pt>
                <c:pt idx="7">
                  <c:v>2.193789784128211</c:v>
                </c:pt>
                <c:pt idx="8">
                  <c:v>1.3797195678796148</c:v>
                </c:pt>
                <c:pt idx="9">
                  <c:v>0.7598469306657655</c:v>
                </c:pt>
                <c:pt idx="10">
                  <c:v>0.3513633502229396</c:v>
                </c:pt>
                <c:pt idx="11">
                  <c:v>0.12615135036172256</c:v>
                </c:pt>
                <c:pt idx="12">
                  <c:v>0.02966158887227087</c:v>
                </c:pt>
                <c:pt idx="13">
                  <c:v>-0.008218959358921718</c:v>
                </c:pt>
                <c:pt idx="14">
                  <c:v>-0.07651534506927894</c:v>
                </c:pt>
                <c:pt idx="15">
                  <c:v>-0.30205858831457594</c:v>
                </c:pt>
                <c:pt idx="16">
                  <c:v>-0.8785630860606016</c:v>
                </c:pt>
                <c:pt idx="17">
                  <c:v>-2.0756556378502435</c:v>
                </c:pt>
                <c:pt idx="18">
                  <c:v>-4.128604975929571</c:v>
                </c:pt>
                <c:pt idx="19">
                  <c:v>-6.853718100766985</c:v>
                </c:pt>
                <c:pt idx="20">
                  <c:v>-9.158514711759926</c:v>
                </c:pt>
                <c:pt idx="21">
                  <c:v>-9.411282794645716</c:v>
                </c:pt>
                <c:pt idx="22">
                  <c:v>-6.949311197265337</c:v>
                </c:pt>
                <c:pt idx="23">
                  <c:v>-2.7287935294167567</c:v>
                </c:pt>
                <c:pt idx="24">
                  <c:v>1.7102778222360073</c:v>
                </c:pt>
              </c:numCache>
            </c:numRef>
          </c:yVal>
          <c:smooth val="1"/>
        </c:ser>
        <c:axId val="28885541"/>
        <c:axId val="17187538"/>
      </c:scatterChart>
      <c:valAx>
        <c:axId val="2888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87538"/>
        <c:crosses val="autoZero"/>
        <c:crossBetween val="midCat"/>
        <c:dispUnits/>
      </c:valAx>
      <c:valAx>
        <c:axId val="17187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8554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325"/>
          <c:y val="0.21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План ускорений точки С3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35"/>
          <c:w val="0.96725"/>
          <c:h val="0.8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Расчеты!$A$97</c:f>
              <c:strCache>
                <c:ptCount val="1"/>
                <c:pt idx="0">
                  <c:v>(Y_tt)C3=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Расчеты!$B$96:$IV$96</c:f>
              <c:numCache>
                <c:ptCount val="26"/>
                <c:pt idx="0">
                  <c:v>-12.659982520589653</c:v>
                </c:pt>
                <c:pt idx="1">
                  <c:v>-10.244545309119902</c:v>
                </c:pt>
                <c:pt idx="2">
                  <c:v>-8.026050064669551</c:v>
                </c:pt>
                <c:pt idx="3">
                  <c:v>-5.816852615870462</c:v>
                </c:pt>
                <c:pt idx="4">
                  <c:v>-3.496212379493845</c:v>
                </c:pt>
                <c:pt idx="5">
                  <c:v>-1.080668556726624</c:v>
                </c:pt>
                <c:pt idx="6">
                  <c:v>1.2993102372998535</c:v>
                </c:pt>
                <c:pt idx="7">
                  <c:v>3.45745813171107</c:v>
                </c:pt>
                <c:pt idx="8">
                  <c:v>5.231295395282849</c:v>
                </c:pt>
                <c:pt idx="9">
                  <c:v>6.559917624890696</c:v>
                </c:pt>
                <c:pt idx="10">
                  <c:v>7.521791053190425</c:v>
                </c:pt>
                <c:pt idx="11">
                  <c:v>8.314610164033281</c:v>
                </c:pt>
                <c:pt idx="12">
                  <c:v>9.201047643109899</c:v>
                </c:pt>
                <c:pt idx="13">
                  <c:v>10.456492475676974</c:v>
                </c:pt>
                <c:pt idx="14">
                  <c:v>12.32034945644836</c:v>
                </c:pt>
                <c:pt idx="15">
                  <c:v>14.891053075771822</c:v>
                </c:pt>
                <c:pt idx="16">
                  <c:v>17.828457242500743</c:v>
                </c:pt>
                <c:pt idx="17">
                  <c:v>19.703303337028387</c:v>
                </c:pt>
                <c:pt idx="18">
                  <c:v>17.286746422625058</c:v>
                </c:pt>
                <c:pt idx="19">
                  <c:v>6.730508509931505</c:v>
                </c:pt>
                <c:pt idx="20">
                  <c:v>-11.112853993013399</c:v>
                </c:pt>
                <c:pt idx="21">
                  <c:v>-27.643355786703797</c:v>
                </c:pt>
                <c:pt idx="22">
                  <c:v>-35.33415228263541</c:v>
                </c:pt>
                <c:pt idx="23">
                  <c:v>-35.24969351777996</c:v>
                </c:pt>
                <c:pt idx="24">
                  <c:v>-31.934810076701197</c:v>
                </c:pt>
              </c:numCache>
            </c:numRef>
          </c:xVal>
          <c:yVal>
            <c:numRef>
              <c:f>Расчеты!$B$97:$IV$97</c:f>
              <c:numCache>
                <c:ptCount val="26"/>
                <c:pt idx="0">
                  <c:v>9.867806709866189</c:v>
                </c:pt>
                <c:pt idx="1">
                  <c:v>6.612119298210991</c:v>
                </c:pt>
                <c:pt idx="2">
                  <c:v>3.1805093442863326</c:v>
                </c:pt>
                <c:pt idx="3">
                  <c:v>0.24756697185352872</c:v>
                </c:pt>
                <c:pt idx="4">
                  <c:v>-1.914278587820789</c:v>
                </c:pt>
                <c:pt idx="5">
                  <c:v>-3.2295239461497047</c:v>
                </c:pt>
                <c:pt idx="6">
                  <c:v>-3.738885019247337</c:v>
                </c:pt>
                <c:pt idx="7">
                  <c:v>-3.5787790140043407</c:v>
                </c:pt>
                <c:pt idx="8">
                  <c:v>-2.962652550206543</c:v>
                </c:pt>
                <c:pt idx="9">
                  <c:v>-2.135830253940841</c:v>
                </c:pt>
                <c:pt idx="10">
                  <c:v>-1.3155778423528006</c:v>
                </c:pt>
                <c:pt idx="11">
                  <c:v>-0.6530560755636656</c:v>
                </c:pt>
                <c:pt idx="12">
                  <c:v>-0.2413109729483816</c:v>
                </c:pt>
                <c:pt idx="13">
                  <c:v>-0.16370434290465682</c:v>
                </c:pt>
                <c:pt idx="14">
                  <c:v>-0.5650902340699422</c:v>
                </c:pt>
                <c:pt idx="15">
                  <c:v>-1.728986920315879</c:v>
                </c:pt>
                <c:pt idx="16">
                  <c:v>-4.104955535443801</c:v>
                </c:pt>
                <c:pt idx="17">
                  <c:v>-8.057374926708665</c:v>
                </c:pt>
                <c:pt idx="18">
                  <c:v>-12.817657128600604</c:v>
                </c:pt>
                <c:pt idx="19">
                  <c:v>-14.72183594205587</c:v>
                </c:pt>
                <c:pt idx="20">
                  <c:v>-8.277348649657604</c:v>
                </c:pt>
                <c:pt idx="21">
                  <c:v>6.406392977993308</c:v>
                </c:pt>
                <c:pt idx="22">
                  <c:v>20.633706370623297</c:v>
                </c:pt>
                <c:pt idx="23">
                  <c:v>26.878283335249936</c:v>
                </c:pt>
                <c:pt idx="24">
                  <c:v>24.894360243208524</c:v>
                </c:pt>
              </c:numCache>
            </c:numRef>
          </c:yVal>
          <c:smooth val="1"/>
        </c:ser>
        <c:axId val="41806859"/>
        <c:axId val="81568"/>
      </c:scatterChart>
      <c:valAx>
        <c:axId val="4180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81568"/>
        <c:crosses val="autoZero"/>
        <c:crossBetween val="midCat"/>
        <c:dispUnits/>
      </c:valAx>
      <c:valAx>
        <c:axId val="81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180685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5"/>
          <c:y val="0.283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Кинетическая энергия звена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775"/>
          <c:w val="0.9772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Расчеты!$A$164</c:f>
              <c:strCache>
                <c:ptCount val="1"/>
                <c:pt idx="0">
                  <c:v>Екин5=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Расчеты!$B$164:$IV$164</c:f>
              <c:numCache/>
            </c:numRef>
          </c:val>
          <c:smooth val="0"/>
        </c:ser>
        <c:marker val="1"/>
        <c:axId val="6509893"/>
        <c:axId val="61559154"/>
      </c:lineChart>
      <c:catAx>
        <c:axId val="650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559154"/>
        <c:crosses val="autoZero"/>
        <c:auto val="1"/>
        <c:lblOffset val="100"/>
        <c:noMultiLvlLbl val="0"/>
      </c:catAx>
      <c:valAx>
        <c:axId val="6155915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0989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244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План ускорений точки С5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41"/>
          <c:w val="0.96775"/>
          <c:h val="0.8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Расчеты!$A$119</c:f>
              <c:strCache>
                <c:ptCount val="1"/>
                <c:pt idx="0">
                  <c:v>ytt(H5)=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Расчеты!$B$118:$IV$118</c:f>
              <c:numCache>
                <c:ptCount val="26"/>
                <c:pt idx="0">
                  <c:v>-0.5097256397829881</c:v>
                </c:pt>
                <c:pt idx="1">
                  <c:v>-1.0462039286358737</c:v>
                </c:pt>
                <c:pt idx="2">
                  <c:v>-1.3067519317919458</c:v>
                </c:pt>
                <c:pt idx="3">
                  <c:v>-1.321898070608439</c:v>
                </c:pt>
                <c:pt idx="4">
                  <c:v>-1.1350519277304867</c:v>
                </c:pt>
                <c:pt idx="5">
                  <c:v>-0.8065884466068872</c:v>
                </c:pt>
                <c:pt idx="6">
                  <c:v>-0.41382510132391925</c:v>
                </c:pt>
                <c:pt idx="7">
                  <c:v>-0.04132412629675558</c:v>
                </c:pt>
                <c:pt idx="8">
                  <c:v>0.23672056339917433</c:v>
                </c:pt>
                <c:pt idx="9">
                  <c:v>0.3710839522245416</c:v>
                </c:pt>
                <c:pt idx="10">
                  <c:v>0.3368344376806205</c:v>
                </c:pt>
                <c:pt idx="11">
                  <c:v>0.1164640029067355</c:v>
                </c:pt>
                <c:pt idx="12">
                  <c:v>-0.31944020543244733</c:v>
                </c:pt>
                <c:pt idx="13">
                  <c:v>-1.0091972373493332</c:v>
                </c:pt>
                <c:pt idx="14">
                  <c:v>-1.9332959155731555</c:v>
                </c:pt>
                <c:pt idx="15">
                  <c:v>-2.8302292739657524</c:v>
                </c:pt>
                <c:pt idx="16">
                  <c:v>-2.959827979764601</c:v>
                </c:pt>
                <c:pt idx="17">
                  <c:v>-1.3209667545651562</c:v>
                </c:pt>
                <c:pt idx="18">
                  <c:v>2.0952282924044527</c:v>
                </c:pt>
                <c:pt idx="19">
                  <c:v>5.418708941037714</c:v>
                </c:pt>
                <c:pt idx="20">
                  <c:v>6.645633380466639</c:v>
                </c:pt>
                <c:pt idx="21">
                  <c:v>5.643443998064838</c:v>
                </c:pt>
                <c:pt idx="22">
                  <c:v>3.488734377078028</c:v>
                </c:pt>
                <c:pt idx="23">
                  <c:v>1.1269086761645484</c:v>
                </c:pt>
                <c:pt idx="24">
                  <c:v>1.1269086761645484</c:v>
                </c:pt>
              </c:numCache>
            </c:numRef>
          </c:xVal>
          <c:yVal>
            <c:numRef>
              <c:f>Расчеты!$B$119:$IV$119</c:f>
              <c:numCache>
                <c:ptCount val="26"/>
                <c:pt idx="0">
                  <c:v>-1.9023219855906637</c:v>
                </c:pt>
                <c:pt idx="1">
                  <c:v>-3.904486216747245</c:v>
                </c:pt>
                <c:pt idx="2">
                  <c:v>-4.8768646023363225</c:v>
                </c:pt>
                <c:pt idx="3">
                  <c:v>-4.933390761937965</c:v>
                </c:pt>
                <c:pt idx="4">
                  <c:v>-4.236071463519174</c:v>
                </c:pt>
                <c:pt idx="5">
                  <c:v>-3.01022906353496</c:v>
                </c:pt>
                <c:pt idx="6">
                  <c:v>-1.5444163035882055</c:v>
                </c:pt>
                <c:pt idx="7">
                  <c:v>-0.15422373891788496</c:v>
                </c:pt>
                <c:pt idx="8">
                  <c:v>0.8834531698020482</c:v>
                </c:pt>
                <c:pt idx="9">
                  <c:v>1.3849041635754513</c:v>
                </c:pt>
                <c:pt idx="10">
                  <c:v>1.2570832351629684</c:v>
                </c:pt>
                <c:pt idx="11">
                  <c:v>0.43464957610078636</c:v>
                </c:pt>
                <c:pt idx="12">
                  <c:v>-1.1921670766541332</c:v>
                </c:pt>
                <c:pt idx="13">
                  <c:v>-3.7663753646458593</c:v>
                </c:pt>
                <c:pt idx="14">
                  <c:v>-7.215158582984408</c:v>
                </c:pt>
                <c:pt idx="15">
                  <c:v>-10.562559447508965</c:v>
                </c:pt>
                <c:pt idx="16">
                  <c:v>-11.04622840214544</c:v>
                </c:pt>
                <c:pt idx="17">
                  <c:v>-4.929915043146531</c:v>
                </c:pt>
                <c:pt idx="18">
                  <c:v>7.819498440709198</c:v>
                </c:pt>
                <c:pt idx="19">
                  <c:v>20.2228970793805</c:v>
                </c:pt>
                <c:pt idx="20">
                  <c:v>24.80184142437721</c:v>
                </c:pt>
                <c:pt idx="21">
                  <c:v>21.061619730447614</c:v>
                </c:pt>
                <c:pt idx="22">
                  <c:v>13.02013394936736</c:v>
                </c:pt>
                <c:pt idx="23">
                  <c:v>4.205680434936277</c:v>
                </c:pt>
                <c:pt idx="24">
                  <c:v>4.205680434936277</c:v>
                </c:pt>
              </c:numCache>
            </c:numRef>
          </c:yVal>
          <c:smooth val="1"/>
        </c:ser>
        <c:axId val="4975649"/>
        <c:axId val="35079134"/>
      </c:scatterChart>
      <c:valAx>
        <c:axId val="4975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079134"/>
        <c:crosses val="autoZero"/>
        <c:crossBetween val="midCat"/>
        <c:dispUnits/>
      </c:valAx>
      <c:valAx>
        <c:axId val="35079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7564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75"/>
          <c:y val="0.49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План скоростей точки С5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9475"/>
          <c:w val="0.949"/>
          <c:h val="0.8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Расчеты!$A$117</c:f>
              <c:strCache>
                <c:ptCount val="1"/>
                <c:pt idx="0">
                  <c:v>yt(H5)=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Расчеты!$B$114:$IV$114</c:f>
              <c:numCache>
                <c:ptCount val="26"/>
                <c:pt idx="0">
                  <c:v>1.45164978355792</c:v>
                </c:pt>
                <c:pt idx="1">
                  <c:v>1.318203923117204</c:v>
                </c:pt>
                <c:pt idx="2">
                  <c:v>1.0443083750872673</c:v>
                </c:pt>
                <c:pt idx="3">
                  <c:v>0.7030948143518729</c:v>
                </c:pt>
                <c:pt idx="4">
                  <c:v>0.3597195715839675</c:v>
                </c:pt>
                <c:pt idx="5">
                  <c:v>0.06715329220857369</c:v>
                </c:pt>
                <c:pt idx="6">
                  <c:v>-0.13864431532015076</c:v>
                </c:pt>
                <c:pt idx="7">
                  <c:v>-0.24292029551891292</c:v>
                </c:pt>
                <c:pt idx="8">
                  <c:v>-0.25318198009860415</c:v>
                </c:pt>
                <c:pt idx="9">
                  <c:v>-0.19536637610703678</c:v>
                </c:pt>
                <c:pt idx="10">
                  <c:v>-0.10638355804082922</c:v>
                </c:pt>
                <c:pt idx="11">
                  <c:v>-0.027207567427264046</c:v>
                </c:pt>
                <c:pt idx="12">
                  <c:v>-0.0004086258993425407</c:v>
                </c:pt>
                <c:pt idx="13">
                  <c:v>-0.072280028263358</c:v>
                </c:pt>
                <c:pt idx="14">
                  <c:v>-0.29407770601756167</c:v>
                </c:pt>
                <c:pt idx="15">
                  <c:v>-0.7087876250673146</c:v>
                </c:pt>
                <c:pt idx="16">
                  <c:v>-1.3009687221878852</c:v>
                </c:pt>
                <c:pt idx="17">
                  <c:v>-1.9047398026699143</c:v>
                </c:pt>
                <c:pt idx="18">
                  <c:v>-2.1673517035298033</c:v>
                </c:pt>
                <c:pt idx="19">
                  <c:v>-1.761501882138754</c:v>
                </c:pt>
                <c:pt idx="20">
                  <c:v>-0.7389606559415915</c:v>
                </c:pt>
                <c:pt idx="21">
                  <c:v>0.48270002147858726</c:v>
                </c:pt>
                <c:pt idx="22">
                  <c:v>1.4933461167614066</c:v>
                </c:pt>
                <c:pt idx="23">
                  <c:v>2.1020459237906737</c:v>
                </c:pt>
                <c:pt idx="24">
                  <c:v>2.2936337336354784</c:v>
                </c:pt>
              </c:numCache>
            </c:numRef>
          </c:xVal>
          <c:yVal>
            <c:numRef>
              <c:f>Расчеты!$B$117:$IV$117</c:f>
              <c:numCache>
                <c:ptCount val="26"/>
                <c:pt idx="0">
                  <c:v>5.417630747034522</c:v>
                </c:pt>
                <c:pt idx="1">
                  <c:v>4.919604015810024</c:v>
                </c:pt>
                <c:pt idx="2">
                  <c:v>3.897411914595378</c:v>
                </c:pt>
                <c:pt idx="3">
                  <c:v>2.6239855696993977</c:v>
                </c:pt>
                <c:pt idx="4">
                  <c:v>1.3424917176282767</c:v>
                </c:pt>
                <c:pt idx="5">
                  <c:v>0.25061949841791625</c:v>
                </c:pt>
                <c:pt idx="6">
                  <c:v>-0.5174276289554027</c:v>
                </c:pt>
                <c:pt idx="7">
                  <c:v>-0.9065908850662294</c:v>
                </c:pt>
                <c:pt idx="8">
                  <c:v>-0.9448880132888832</c:v>
                </c:pt>
                <c:pt idx="9">
                  <c:v>-0.7291172417220717</c:v>
                </c:pt>
                <c:pt idx="10">
                  <c:v>-0.39702884369832725</c:v>
                </c:pt>
                <c:pt idx="11">
                  <c:v>-0.10154002398890548</c:v>
                </c:pt>
                <c:pt idx="12">
                  <c:v>-0.0015250126176348877</c:v>
                </c:pt>
                <c:pt idx="13">
                  <c:v>-0.2697527378513665</c:v>
                </c:pt>
                <c:pt idx="14">
                  <c:v>-1.0975129402308441</c:v>
                </c:pt>
                <c:pt idx="15">
                  <c:v>-2.6452314285272984</c:v>
                </c:pt>
                <c:pt idx="16">
                  <c:v>-4.855281370263148</c:v>
                </c:pt>
                <c:pt idx="17">
                  <c:v>-7.108585718762838</c:v>
                </c:pt>
                <c:pt idx="18">
                  <c:v>-8.088666675444186</c:v>
                </c:pt>
                <c:pt idx="19">
                  <c:v>-6.574014521770035</c:v>
                </c:pt>
                <c:pt idx="20">
                  <c:v>-2.7578387127684443</c:v>
                </c:pt>
                <c:pt idx="21">
                  <c:v>1.8014610049726762</c:v>
                </c:pt>
                <c:pt idx="22">
                  <c:v>5.573243581039255</c:v>
                </c:pt>
                <c:pt idx="23">
                  <c:v>7.844942187429851</c:v>
                </c:pt>
                <c:pt idx="24">
                  <c:v>8.559957627881507</c:v>
                </c:pt>
              </c:numCache>
            </c:numRef>
          </c:yVal>
          <c:smooth val="1"/>
        </c:ser>
        <c:axId val="59452391"/>
        <c:axId val="2717196"/>
      </c:scatterChart>
      <c:valAx>
        <c:axId val="59452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17196"/>
        <c:crosses val="autoZero"/>
        <c:crossBetween val="midCat"/>
        <c:dispUnits/>
      </c:valAx>
      <c:valAx>
        <c:axId val="2717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45239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355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485"/>
          <c:w val="0.90775"/>
          <c:h val="0.8205"/>
        </c:manualLayout>
      </c:layout>
      <c:lineChart>
        <c:grouping val="standard"/>
        <c:varyColors val="0"/>
        <c:ser>
          <c:idx val="0"/>
          <c:order val="0"/>
          <c:tx>
            <c:v>Psi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Расчеты!$B$21:$IV$21</c:f>
              <c:numCache>
                <c:ptCount val="2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Расчеты!$B$56:$IV$56</c:f>
              <c:numCache>
                <c:ptCount val="26"/>
                <c:pt idx="0">
                  <c:v>-0.13901405071285278</c:v>
                </c:pt>
                <c:pt idx="1">
                  <c:v>-0.2107516277432211</c:v>
                </c:pt>
                <c:pt idx="2">
                  <c:v>-0.2615470856056656</c:v>
                </c:pt>
                <c:pt idx="3">
                  <c:v>-0.2929216143035372</c:v>
                </c:pt>
                <c:pt idx="4">
                  <c:v>-0.30624058759552397</c:v>
                </c:pt>
                <c:pt idx="5">
                  <c:v>-0.30241867158429725</c:v>
                </c:pt>
                <c:pt idx="6">
                  <c:v>-0.28200757466995147</c:v>
                </c:pt>
                <c:pt idx="7">
                  <c:v>-0.24547674836425978</c:v>
                </c:pt>
                <c:pt idx="8">
                  <c:v>-0.1935726444735811</c:v>
                </c:pt>
                <c:pt idx="9">
                  <c:v>-0.12765022748954444</c:v>
                </c:pt>
                <c:pt idx="10">
                  <c:v>-0.049881876697471204</c:v>
                </c:pt>
                <c:pt idx="11">
                  <c:v>0.036689193791683235</c:v>
                </c:pt>
                <c:pt idx="12">
                  <c:v>0.12819387645375474</c:v>
                </c:pt>
                <c:pt idx="13">
                  <c:v>0.21997114799874076</c:v>
                </c:pt>
                <c:pt idx="14">
                  <c:v>0.306500281855437</c:v>
                </c:pt>
                <c:pt idx="15">
                  <c:v>0.38121460931275014</c:v>
                </c:pt>
                <c:pt idx="16">
                  <c:v>0.43630834234878063</c:v>
                </c:pt>
                <c:pt idx="17">
                  <c:v>0.4628915696205644</c:v>
                </c:pt>
                <c:pt idx="18">
                  <c:v>0.4522581504506931</c:v>
                </c:pt>
                <c:pt idx="19">
                  <c:v>0.39923051146798694</c:v>
                </c:pt>
                <c:pt idx="20">
                  <c:v>0.30708629540902666</c:v>
                </c:pt>
                <c:pt idx="21">
                  <c:v>0.18977351365077827</c:v>
                </c:pt>
                <c:pt idx="22">
                  <c:v>0.06677817910485764</c:v>
                </c:pt>
                <c:pt idx="23">
                  <c:v>-0.04569086647765196</c:v>
                </c:pt>
                <c:pt idx="24">
                  <c:v>-0.13901405071285278</c:v>
                </c:pt>
              </c:numCache>
            </c:numRef>
          </c:val>
          <c:smooth val="0"/>
        </c:ser>
        <c:marker val="1"/>
        <c:axId val="31531229"/>
        <c:axId val="44356778"/>
      </c:lineChart>
      <c:catAx>
        <c:axId val="31531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Fi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56778"/>
        <c:crosses val="autoZero"/>
        <c:auto val="1"/>
        <c:lblOffset val="100"/>
        <c:noMultiLvlLbl val="0"/>
      </c:catAx>
      <c:valAx>
        <c:axId val="44356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1229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7"/>
          <c:h val="0.9615"/>
        </c:manualLayout>
      </c:layout>
      <c:lineChart>
        <c:grouping val="standard"/>
        <c:varyColors val="0"/>
        <c:ser>
          <c:idx val="0"/>
          <c:order val="0"/>
          <c:tx>
            <c:v>Psi_t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Расчеты!$B$60:$IV$60</c:f>
              <c:numCache>
                <c:ptCount val="26"/>
                <c:pt idx="0">
                  <c:v>-0.3154483864685878</c:v>
                </c:pt>
                <c:pt idx="1">
                  <c:v>-0.2331358220783437</c:v>
                </c:pt>
                <c:pt idx="2">
                  <c:v>-0.1563504403754573</c:v>
                </c:pt>
                <c:pt idx="3">
                  <c:v>-0.08529098854672425</c:v>
                </c:pt>
                <c:pt idx="4">
                  <c:v>-0.017975928931893752</c:v>
                </c:pt>
                <c:pt idx="5">
                  <c:v>0.04777741082696438</c:v>
                </c:pt>
                <c:pt idx="6">
                  <c:v>0.11334193924393743</c:v>
                </c:pt>
                <c:pt idx="7">
                  <c:v>0.17873185246285844</c:v>
                </c:pt>
                <c:pt idx="8">
                  <c:v>0.24240082620246292</c:v>
                </c:pt>
                <c:pt idx="9">
                  <c:v>0.3014308126941951</c:v>
                </c:pt>
                <c:pt idx="10">
                  <c:v>0.35203013555023266</c:v>
                </c:pt>
                <c:pt idx="11">
                  <c:v>0.39003340025181216</c:v>
                </c:pt>
                <c:pt idx="12">
                  <c:v>0.4110595355370026</c:v>
                </c:pt>
                <c:pt idx="13">
                  <c:v>0.41020227504805606</c:v>
                </c:pt>
                <c:pt idx="14">
                  <c:v>0.38140561859409794</c:v>
                </c:pt>
                <c:pt idx="15">
                  <c:v>0.31692635369567806</c:v>
                </c:pt>
                <c:pt idx="16">
                  <c:v>0.2077356425695203</c:v>
                </c:pt>
                <c:pt idx="17">
                  <c:v>0.04670121609532658</c:v>
                </c:pt>
                <c:pt idx="18">
                  <c:v>-0.16265847047108586</c:v>
                </c:pt>
                <c:pt idx="19">
                  <c:v>-0.392439189647559</c:v>
                </c:pt>
                <c:pt idx="20">
                  <c:v>-0.5864805092602826</c:v>
                </c:pt>
                <c:pt idx="21">
                  <c:v>-0.6890189533648944</c:v>
                </c:pt>
                <c:pt idx="22">
                  <c:v>-0.6867720862804276</c:v>
                </c:pt>
                <c:pt idx="23">
                  <c:v>-0.6100340541672246</c:v>
                </c:pt>
                <c:pt idx="24">
                  <c:v>-0.4984143342424619</c:v>
                </c:pt>
              </c:numCache>
            </c:numRef>
          </c:val>
          <c:smooth val="1"/>
        </c:ser>
        <c:ser>
          <c:idx val="1"/>
          <c:order val="1"/>
          <c:tx>
            <c:v>Psi_tt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Расчеты!$B$64:$IV$64</c:f>
              <c:numCache>
                <c:ptCount val="26"/>
                <c:pt idx="0">
                  <c:v>0.3184780927358081</c:v>
                </c:pt>
                <c:pt idx="1">
                  <c:v>0.3040846124603633</c:v>
                </c:pt>
                <c:pt idx="2">
                  <c:v>0.28141722056281315</c:v>
                </c:pt>
                <c:pt idx="3">
                  <c:v>0.26443580976024755</c:v>
                </c:pt>
                <c:pt idx="4">
                  <c:v>0.25680431351975624</c:v>
                </c:pt>
                <c:pt idx="5">
                  <c:v>0.2570379510650602</c:v>
                </c:pt>
                <c:pt idx="6">
                  <c:v>0.26079059426163964</c:v>
                </c:pt>
                <c:pt idx="7">
                  <c:v>0.26202170192517715</c:v>
                </c:pt>
                <c:pt idx="8">
                  <c:v>0.25427040494115954</c:v>
                </c:pt>
                <c:pt idx="9">
                  <c:v>0.232147323393235</c:v>
                </c:pt>
                <c:pt idx="10">
                  <c:v>0.19216726652692262</c:v>
                </c:pt>
                <c:pt idx="11">
                  <c:v>0.13210996886953486</c:v>
                </c:pt>
                <c:pt idx="12">
                  <c:v>0.04916202264639662</c:v>
                </c:pt>
                <c:pt idx="13">
                  <c:v>-0.06209216453201932</c:v>
                </c:pt>
                <c:pt idx="14">
                  <c:v>-0.2107016869310008</c:v>
                </c:pt>
                <c:pt idx="15">
                  <c:v>-0.40785271682173363</c:v>
                </c:pt>
                <c:pt idx="16">
                  <c:v>-0.6590332356971976</c:v>
                </c:pt>
                <c:pt idx="17">
                  <c:v>-0.9424037866558891</c:v>
                </c:pt>
                <c:pt idx="18">
                  <c:v>-1.1710143516319471</c:v>
                </c:pt>
                <c:pt idx="19">
                  <c:v>-1.180076231281466</c:v>
                </c:pt>
                <c:pt idx="20">
                  <c:v>-0.8423941791611911</c:v>
                </c:pt>
                <c:pt idx="21">
                  <c:v>-0.2654427089885987</c:v>
                </c:pt>
                <c:pt idx="22">
                  <c:v>0.2682878612012591</c:v>
                </c:pt>
                <c:pt idx="23">
                  <c:v>0.5895467580642115</c:v>
                </c:pt>
                <c:pt idx="24">
                  <c:v>0.7193598688779952</c:v>
                </c:pt>
              </c:numCache>
            </c:numRef>
          </c:val>
          <c:smooth val="1"/>
        </c:ser>
        <c:marker val="1"/>
        <c:axId val="21408899"/>
        <c:axId val="30874424"/>
      </c:lineChart>
      <c:catAx>
        <c:axId val="214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74424"/>
        <c:crosses val="autoZero"/>
        <c:auto val="1"/>
        <c:lblOffset val="100"/>
        <c:noMultiLvlLbl val="0"/>
      </c:catAx>
      <c:valAx>
        <c:axId val="30874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08899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75"/>
          <c:y val="0.1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1875"/>
          <c:w val="0.9657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Расчеты!$A$34</c:f>
              <c:strCache>
                <c:ptCount val="1"/>
                <c:pt idx="0">
                  <c:v>(X)A=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Расчеты!$B$34:$IV$34</c:f>
              <c:numCache>
                <c:ptCount val="26"/>
                <c:pt idx="0">
                  <c:v>7.144</c:v>
                </c:pt>
                <c:pt idx="1">
                  <c:v>6.900574103009104</c:v>
                </c:pt>
                <c:pt idx="2">
                  <c:v>6.18688548463603</c:v>
                </c:pt>
                <c:pt idx="3">
                  <c:v>5.051570844796696</c:v>
                </c:pt>
                <c:pt idx="4">
                  <c:v>3.572000000000001</c:v>
                </c:pt>
                <c:pt idx="5">
                  <c:v>1.8490032582124083</c:v>
                </c:pt>
                <c:pt idx="6">
                  <c:v>4.376230280933591E-16</c:v>
                </c:pt>
                <c:pt idx="7">
                  <c:v>-1.849003258212409</c:v>
                </c:pt>
                <c:pt idx="8">
                  <c:v>-3.5719999999999983</c:v>
                </c:pt>
                <c:pt idx="9">
                  <c:v>-5.051570844796695</c:v>
                </c:pt>
                <c:pt idx="10">
                  <c:v>-6.18688548463603</c:v>
                </c:pt>
                <c:pt idx="11">
                  <c:v>-6.900574103009103</c:v>
                </c:pt>
                <c:pt idx="12">
                  <c:v>-7.144</c:v>
                </c:pt>
                <c:pt idx="13">
                  <c:v>-6.900574103009104</c:v>
                </c:pt>
                <c:pt idx="14">
                  <c:v>-6.186885484636029</c:v>
                </c:pt>
                <c:pt idx="15">
                  <c:v>-5.0515708447966965</c:v>
                </c:pt>
                <c:pt idx="16">
                  <c:v>-3.572000000000003</c:v>
                </c:pt>
                <c:pt idx="17">
                  <c:v>-1.8490032582124074</c:v>
                </c:pt>
                <c:pt idx="18">
                  <c:v>-1.3128690842800772E-15</c:v>
                </c:pt>
                <c:pt idx="19">
                  <c:v>1.849003258212405</c:v>
                </c:pt>
                <c:pt idx="20">
                  <c:v>3.572000000000001</c:v>
                </c:pt>
                <c:pt idx="21">
                  <c:v>5.051570844796695</c:v>
                </c:pt>
                <c:pt idx="22">
                  <c:v>6.1868854846360275</c:v>
                </c:pt>
                <c:pt idx="23">
                  <c:v>6.900574103009104</c:v>
                </c:pt>
                <c:pt idx="24">
                  <c:v>7.144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Расчеты!$A$36</c:f>
              <c:strCache>
                <c:ptCount val="1"/>
                <c:pt idx="0">
                  <c:v>(X_t)A=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Расчеты!$B$36:$IV$36</c:f>
              <c:numCache>
                <c:ptCount val="26"/>
                <c:pt idx="0">
                  <c:v>0</c:v>
                </c:pt>
                <c:pt idx="1">
                  <c:v>-1.8490032582124083</c:v>
                </c:pt>
                <c:pt idx="2">
                  <c:v>-3.5813514741321852</c:v>
                </c:pt>
                <c:pt idx="3">
                  <c:v>-5.091245789434448</c:v>
                </c:pt>
                <c:pt idx="4">
                  <c:v>-6.283941974010464</c:v>
                </c:pt>
                <c:pt idx="5">
                  <c:v>-7.080526067010178</c:v>
                </c:pt>
                <c:pt idx="6">
                  <c:v>-7.422370373125797</c:v>
                </c:pt>
                <c:pt idx="7">
                  <c:v>-7.275098361582367</c:v>
                </c:pt>
                <c:pt idx="8">
                  <c:v>-6.631803093491694</c:v>
                </c:pt>
                <c:pt idx="9">
                  <c:v>-5.515197795269225</c:v>
                </c:pt>
                <c:pt idx="10">
                  <c:v>-3.97835064189262</c:v>
                </c:pt>
                <c:pt idx="11">
                  <c:v>-2.1036833751125488</c:v>
                </c:pt>
                <c:pt idx="12">
                  <c:v>-1.0184324923388904E-15</c:v>
                </c:pt>
                <c:pt idx="13">
                  <c:v>2.2025478965699987</c:v>
                </c:pt>
                <c:pt idx="14">
                  <c:v>4.359472950579104</c:v>
                </c:pt>
                <c:pt idx="15">
                  <c:v>6.320655978536464</c:v>
                </c:pt>
                <c:pt idx="16">
                  <c:v>7.940262648159129</c:v>
                </c:pt>
                <c:pt idx="17">
                  <c:v>9.087226123488911</c:v>
                </c:pt>
                <c:pt idx="18">
                  <c:v>9.655528791555014</c:v>
                </c:pt>
                <c:pt idx="19">
                  <c:v>9.57345825850018</c:v>
                </c:pt>
                <c:pt idx="20">
                  <c:v>8.811026105800162</c:v>
                </c:pt>
                <c:pt idx="21">
                  <c:v>7.384824725310385</c:v>
                </c:pt>
                <c:pt idx="22">
                  <c:v>5.359753511428872</c:v>
                </c:pt>
                <c:pt idx="23">
                  <c:v>2.8472601702230502</c:v>
                </c:pt>
                <c:pt idx="24">
                  <c:v>2.76581018705628E-15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Расчеты!$A$38</c:f>
              <c:strCache>
                <c:ptCount val="1"/>
                <c:pt idx="0">
                  <c:v>(X_tt)A=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Расчеты!$B$38:$IV$38</c:f>
              <c:numCache>
                <c:ptCount val="26"/>
                <c:pt idx="0">
                  <c:v>-7.144</c:v>
                </c:pt>
                <c:pt idx="1">
                  <c:v>-6.919064135591229</c:v>
                </c:pt>
                <c:pt idx="2">
                  <c:v>-6.290762345525843</c:v>
                </c:pt>
                <c:pt idx="3">
                  <c:v>-5.2827794657026175</c:v>
                </c:pt>
                <c:pt idx="4">
                  <c:v>-3.9324256557358095</c:v>
                </c:pt>
                <c:pt idx="5">
                  <c:v>-2.2917253503585817</c:v>
                </c:pt>
                <c:pt idx="6">
                  <c:v>-0.4286400000000005</c:v>
                </c:pt>
                <c:pt idx="7">
                  <c:v>1.572116636989126</c:v>
                </c:pt>
                <c:pt idx="8">
                  <c:v>3.6092682981128412</c:v>
                </c:pt>
                <c:pt idx="9">
                  <c:v>5.566734480207861</c:v>
                </c:pt>
                <c:pt idx="10">
                  <c:v>7.317391942497479</c:v>
                </c:pt>
                <c:pt idx="11">
                  <c:v>8.729060194380969</c:v>
                </c:pt>
                <c:pt idx="12">
                  <c:v>9.672653138358708</c:v>
                </c:pt>
                <c:pt idx="13">
                  <c:v>10.032126671399052</c:v>
                </c:pt>
                <c:pt idx="14">
                  <c:v>9.715542830543523</c:v>
                </c:pt>
                <c:pt idx="15">
                  <c:v>8.666303718991129</c:v>
                </c:pt>
                <c:pt idx="16">
                  <c:v>6.873418934144147</c:v>
                </c:pt>
                <c:pt idx="17">
                  <c:v>4.37958766176019</c:v>
                </c:pt>
                <c:pt idx="18">
                  <c:v>1.2859200000000026</c:v>
                </c:pt>
                <c:pt idx="19">
                  <c:v>-2.247701922959656</c:v>
                </c:pt>
                <c:pt idx="20">
                  <c:v>-6.007320648228822</c:v>
                </c:pt>
                <c:pt idx="21">
                  <c:v>-9.734947891349375</c:v>
                </c:pt>
                <c:pt idx="22">
                  <c:v>-13.143765344051744</c:v>
                </c:pt>
                <c:pt idx="23">
                  <c:v>-15.937776214942392</c:v>
                </c:pt>
                <c:pt idx="24">
                  <c:v>-17.834702663456863</c:v>
                </c:pt>
              </c:numCache>
            </c:numRef>
          </c:val>
          <c:smooth val="0"/>
        </c:ser>
        <c:marker val="1"/>
        <c:axId val="4291673"/>
        <c:axId val="60465462"/>
      </c:lineChart>
      <c:catAx>
        <c:axId val="429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65462"/>
        <c:crosses val="autoZero"/>
        <c:auto val="1"/>
        <c:lblOffset val="100"/>
        <c:noMultiLvlLbl val="0"/>
      </c:catAx>
      <c:valAx>
        <c:axId val="60465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1673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25"/>
          <c:y val="0.6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1125"/>
          <c:w val="0.9782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Расчеты!$A$35</c:f>
              <c:strCache>
                <c:ptCount val="1"/>
                <c:pt idx="0">
                  <c:v>(Y)A=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Расчеты!$B$35:$IV$35</c:f>
              <c:numCache>
                <c:ptCount val="26"/>
                <c:pt idx="0">
                  <c:v>0</c:v>
                </c:pt>
                <c:pt idx="1">
                  <c:v>1.8490032582124083</c:v>
                </c:pt>
                <c:pt idx="2">
                  <c:v>3.5719999999999996</c:v>
                </c:pt>
                <c:pt idx="3">
                  <c:v>5.051570844796695</c:v>
                </c:pt>
                <c:pt idx="4">
                  <c:v>6.186885484636029</c:v>
                </c:pt>
                <c:pt idx="5">
                  <c:v>6.900574103009104</c:v>
                </c:pt>
                <c:pt idx="6">
                  <c:v>7.144</c:v>
                </c:pt>
                <c:pt idx="7">
                  <c:v>6.900574103009104</c:v>
                </c:pt>
                <c:pt idx="8">
                  <c:v>6.18688548463603</c:v>
                </c:pt>
                <c:pt idx="9">
                  <c:v>5.051570844796696</c:v>
                </c:pt>
                <c:pt idx="10">
                  <c:v>3.5719999999999996</c:v>
                </c:pt>
                <c:pt idx="11">
                  <c:v>1.84900325821241</c:v>
                </c:pt>
                <c:pt idx="12">
                  <c:v>8.752460561867182E-16</c:v>
                </c:pt>
                <c:pt idx="13">
                  <c:v>-1.8490032582124085</c:v>
                </c:pt>
                <c:pt idx="14">
                  <c:v>-3.572000000000001</c:v>
                </c:pt>
                <c:pt idx="15">
                  <c:v>-5.051570844796695</c:v>
                </c:pt>
                <c:pt idx="16">
                  <c:v>-6.1868854846360275</c:v>
                </c:pt>
                <c:pt idx="17">
                  <c:v>-6.900574103009104</c:v>
                </c:pt>
                <c:pt idx="18">
                  <c:v>-7.144</c:v>
                </c:pt>
                <c:pt idx="19">
                  <c:v>-6.900574103009105</c:v>
                </c:pt>
                <c:pt idx="20">
                  <c:v>-6.186885484636029</c:v>
                </c:pt>
                <c:pt idx="21">
                  <c:v>-5.0515708447966965</c:v>
                </c:pt>
                <c:pt idx="22">
                  <c:v>-3.572000000000003</c:v>
                </c:pt>
                <c:pt idx="23">
                  <c:v>-1.8490032582124079</c:v>
                </c:pt>
                <c:pt idx="24">
                  <c:v>-1.7504921123734363E-15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Расчеты!$A$37</c:f>
              <c:strCache>
                <c:ptCount val="1"/>
                <c:pt idx="0">
                  <c:v>(Y_t)A=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Расчеты!$B$37:$IV$37</c:f>
              <c:numCache>
                <c:ptCount val="26"/>
                <c:pt idx="0">
                  <c:v>7.144</c:v>
                </c:pt>
                <c:pt idx="1">
                  <c:v>6.900574103009104</c:v>
                </c:pt>
                <c:pt idx="2">
                  <c:v>6.203082712958642</c:v>
                </c:pt>
                <c:pt idx="3">
                  <c:v>5.091245789434449</c:v>
                </c:pt>
                <c:pt idx="4">
                  <c:v>3.628035590266931</c:v>
                </c:pt>
                <c:pt idx="5">
                  <c:v>1.8972212416428904</c:v>
                </c:pt>
                <c:pt idx="6">
                  <c:v>4.546752797197294E-16</c:v>
                </c:pt>
                <c:pt idx="7">
                  <c:v>-1.9493567308429798</c:v>
                </c:pt>
                <c:pt idx="8">
                  <c:v>-3.8288733012400207</c:v>
                </c:pt>
                <c:pt idx="9">
                  <c:v>-5.515197795269224</c:v>
                </c:pt>
                <c:pt idx="10">
                  <c:v>-6.890705442082275</c:v>
                </c:pt>
                <c:pt idx="11">
                  <c:v>-7.851053238958001</c:v>
                </c:pt>
                <c:pt idx="12">
                  <c:v>-8.31272723120605</c:v>
                </c:pt>
                <c:pt idx="13">
                  <c:v>-8.220020656103197</c:v>
                </c:pt>
                <c:pt idx="14">
                  <c:v>-7.550828644625209</c:v>
                </c:pt>
                <c:pt idx="15">
                  <c:v>-6.3206559785364655</c:v>
                </c:pt>
                <c:pt idx="16">
                  <c:v>-4.58431277735101</c:v>
                </c:pt>
                <c:pt idx="17">
                  <c:v>-2.434914901227854</c:v>
                </c:pt>
                <c:pt idx="18">
                  <c:v>-1.7744184270448979E-15</c:v>
                </c:pt>
                <c:pt idx="19">
                  <c:v>2.5652004091381806</c:v>
                </c:pt>
                <c:pt idx="20">
                  <c:v>5.087048294020545</c:v>
                </c:pt>
                <c:pt idx="21">
                  <c:v>7.3848247253103825</c:v>
                </c:pt>
                <c:pt idx="22">
                  <c:v>9.283365397840493</c:v>
                </c:pt>
                <c:pt idx="23">
                  <c:v>10.626119617639636</c:v>
                </c:pt>
                <c:pt idx="24">
                  <c:v>11.287653247142908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Расчеты!$A$39</c:f>
              <c:strCache>
                <c:ptCount val="1"/>
                <c:pt idx="0">
                  <c:v>(Y_tt)A=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Расчеты!$B$39:$IV$39</c:f>
              <c:numCache>
                <c:ptCount val="26"/>
                <c:pt idx="0">
                  <c:v>0</c:v>
                </c:pt>
                <c:pt idx="1">
                  <c:v>-1.7799975171823172</c:v>
                </c:pt>
                <c:pt idx="2">
                  <c:v>-3.4669897206736784</c:v>
                </c:pt>
                <c:pt idx="3">
                  <c:v>-4.979685215014816</c:v>
                </c:pt>
                <c:pt idx="4">
                  <c:v>-6.239641032721778</c:v>
                </c:pt>
                <c:pt idx="5">
                  <c:v>-7.172720623929993</c:v>
                </c:pt>
                <c:pt idx="6">
                  <c:v>-7.711587619800613</c:v>
                </c:pt>
                <c:pt idx="7">
                  <c:v>-7.799379913510282</c:v>
                </c:pt>
                <c:pt idx="8">
                  <c:v>-7.394476070479097</c:v>
                </c:pt>
                <c:pt idx="9">
                  <c:v>-6.476017232271267</c:v>
                </c:pt>
                <c:pt idx="10">
                  <c:v>-5.049616272385054</c:v>
                </c:pt>
                <c:pt idx="11">
                  <c:v>-3.1525060633805015</c:v>
                </c:pt>
                <c:pt idx="12">
                  <c:v>-0.8572800000000012</c:v>
                </c:pt>
                <c:pt idx="13">
                  <c:v>1.7266185456976504</c:v>
                </c:pt>
                <c:pt idx="14">
                  <c:v>4.454385978072252</c:v>
                </c:pt>
                <c:pt idx="15">
                  <c:v>7.150832465552118</c:v>
                </c:pt>
                <c:pt idx="16">
                  <c:v>9.619030815643569</c:v>
                </c:pt>
                <c:pt idx="17">
                  <c:v>11.652453279844623</c:v>
                </c:pt>
                <c:pt idx="18">
                  <c:v>13.050005073424947</c:v>
                </c:pt>
                <c:pt idx="19">
                  <c:v>13.632974095042648</c:v>
                </c:pt>
                <c:pt idx="20">
                  <c:v>13.262584580089918</c:v>
                </c:pt>
                <c:pt idx="21">
                  <c:v>11.85660764616399</c:v>
                </c:pt>
                <c:pt idx="22">
                  <c:v>9.40337620171346</c:v>
                </c:pt>
                <c:pt idx="23">
                  <c:v>5.971597263497184</c:v>
                </c:pt>
                <c:pt idx="24">
                  <c:v>1.714560000000005</c:v>
                </c:pt>
              </c:numCache>
            </c:numRef>
          </c:val>
          <c:smooth val="0"/>
        </c:ser>
        <c:marker val="1"/>
        <c:axId val="64514527"/>
        <c:axId val="43072036"/>
      </c:lineChart>
      <c:catAx>
        <c:axId val="6451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72036"/>
        <c:crosses val="autoZero"/>
        <c:auto val="1"/>
        <c:lblOffset val="100"/>
        <c:noMultiLvlLbl val="0"/>
      </c:catAx>
      <c:valAx>
        <c:axId val="43072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14527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"/>
          <c:y val="0.10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6375"/>
          <c:h val="0.962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Расчеты!$A$42</c:f>
              <c:strCache>
                <c:ptCount val="1"/>
                <c:pt idx="0">
                  <c:v>(X)C1=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Расчеты!$B$42:$IV$42</c:f>
              <c:numCache>
                <c:ptCount val="26"/>
                <c:pt idx="0">
                  <c:v>7.144</c:v>
                </c:pt>
                <c:pt idx="1">
                  <c:v>6.900574103009104</c:v>
                </c:pt>
                <c:pt idx="2">
                  <c:v>6.18688548463603</c:v>
                </c:pt>
                <c:pt idx="3">
                  <c:v>5.051570844796696</c:v>
                </c:pt>
                <c:pt idx="4">
                  <c:v>3.572000000000001</c:v>
                </c:pt>
                <c:pt idx="5">
                  <c:v>1.8490032582124083</c:v>
                </c:pt>
                <c:pt idx="6">
                  <c:v>4.376230280933591E-16</c:v>
                </c:pt>
                <c:pt idx="7">
                  <c:v>-1.849003258212409</c:v>
                </c:pt>
                <c:pt idx="8">
                  <c:v>-3.5719999999999983</c:v>
                </c:pt>
                <c:pt idx="9">
                  <c:v>-5.051570844796695</c:v>
                </c:pt>
                <c:pt idx="10">
                  <c:v>-6.18688548463603</c:v>
                </c:pt>
                <c:pt idx="11">
                  <c:v>-6.900574103009103</c:v>
                </c:pt>
                <c:pt idx="12">
                  <c:v>-7.144</c:v>
                </c:pt>
                <c:pt idx="13">
                  <c:v>-6.900574103009104</c:v>
                </c:pt>
                <c:pt idx="14">
                  <c:v>-6.186885484636029</c:v>
                </c:pt>
                <c:pt idx="15">
                  <c:v>-5.0515708447966965</c:v>
                </c:pt>
                <c:pt idx="16">
                  <c:v>-3.572000000000003</c:v>
                </c:pt>
                <c:pt idx="17">
                  <c:v>-1.8490032582124074</c:v>
                </c:pt>
                <c:pt idx="18">
                  <c:v>-1.3128690842800772E-15</c:v>
                </c:pt>
                <c:pt idx="19">
                  <c:v>1.849003258212405</c:v>
                </c:pt>
                <c:pt idx="20">
                  <c:v>3.572000000000001</c:v>
                </c:pt>
                <c:pt idx="21">
                  <c:v>5.051570844796695</c:v>
                </c:pt>
                <c:pt idx="22">
                  <c:v>6.1868854846360275</c:v>
                </c:pt>
                <c:pt idx="23">
                  <c:v>6.900574103009104</c:v>
                </c:pt>
                <c:pt idx="24">
                  <c:v>7.144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Расчеты!$A$44</c:f>
              <c:strCache>
                <c:ptCount val="1"/>
                <c:pt idx="0">
                  <c:v>(X_t)C1=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Расчеты!$B$44:$IV$44</c:f>
              <c:numCache>
                <c:ptCount val="26"/>
                <c:pt idx="0">
                  <c:v>0</c:v>
                </c:pt>
                <c:pt idx="1">
                  <c:v>-1.8490032582124083</c:v>
                </c:pt>
                <c:pt idx="2">
                  <c:v>-3.5813514741321852</c:v>
                </c:pt>
                <c:pt idx="3">
                  <c:v>-5.091245789434448</c:v>
                </c:pt>
                <c:pt idx="4">
                  <c:v>-6.283941974010464</c:v>
                </c:pt>
                <c:pt idx="5">
                  <c:v>-7.080526067010178</c:v>
                </c:pt>
                <c:pt idx="6">
                  <c:v>-7.422370373125797</c:v>
                </c:pt>
                <c:pt idx="7">
                  <c:v>-7.275098361582367</c:v>
                </c:pt>
                <c:pt idx="8">
                  <c:v>-6.631803093491694</c:v>
                </c:pt>
                <c:pt idx="9">
                  <c:v>-5.515197795269225</c:v>
                </c:pt>
                <c:pt idx="10">
                  <c:v>-3.97835064189262</c:v>
                </c:pt>
                <c:pt idx="11">
                  <c:v>-2.1036833751125488</c:v>
                </c:pt>
                <c:pt idx="12">
                  <c:v>-1.0184324923388904E-15</c:v>
                </c:pt>
                <c:pt idx="13">
                  <c:v>2.2025478965699987</c:v>
                </c:pt>
                <c:pt idx="14">
                  <c:v>4.359472950579104</c:v>
                </c:pt>
                <c:pt idx="15">
                  <c:v>6.320655978536464</c:v>
                </c:pt>
                <c:pt idx="16">
                  <c:v>7.940262648159129</c:v>
                </c:pt>
                <c:pt idx="17">
                  <c:v>9.087226123488911</c:v>
                </c:pt>
                <c:pt idx="18">
                  <c:v>9.655528791555014</c:v>
                </c:pt>
                <c:pt idx="19">
                  <c:v>9.57345825850018</c:v>
                </c:pt>
                <c:pt idx="20">
                  <c:v>8.811026105800162</c:v>
                </c:pt>
                <c:pt idx="21">
                  <c:v>7.384824725310385</c:v>
                </c:pt>
                <c:pt idx="22">
                  <c:v>5.359753511428872</c:v>
                </c:pt>
                <c:pt idx="23">
                  <c:v>2.8472601702230502</c:v>
                </c:pt>
                <c:pt idx="24">
                  <c:v>2.76581018705628E-15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Расчеты!$A$46</c:f>
              <c:strCache>
                <c:ptCount val="1"/>
                <c:pt idx="0">
                  <c:v>(X_tt)C1=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Расчеты!$B$46:$IV$46</c:f>
              <c:numCache>
                <c:ptCount val="26"/>
                <c:pt idx="0">
                  <c:v>-7.144</c:v>
                </c:pt>
                <c:pt idx="1">
                  <c:v>-6.919064135591229</c:v>
                </c:pt>
                <c:pt idx="2">
                  <c:v>-6.290762345525843</c:v>
                </c:pt>
                <c:pt idx="3">
                  <c:v>-5.2827794657026175</c:v>
                </c:pt>
                <c:pt idx="4">
                  <c:v>-3.9324256557358095</c:v>
                </c:pt>
                <c:pt idx="5">
                  <c:v>-2.2917253503585817</c:v>
                </c:pt>
                <c:pt idx="6">
                  <c:v>-0.4286400000000005</c:v>
                </c:pt>
                <c:pt idx="7">
                  <c:v>1.572116636989126</c:v>
                </c:pt>
                <c:pt idx="8">
                  <c:v>3.6092682981128412</c:v>
                </c:pt>
                <c:pt idx="9">
                  <c:v>5.566734480207861</c:v>
                </c:pt>
                <c:pt idx="10">
                  <c:v>7.317391942497479</c:v>
                </c:pt>
                <c:pt idx="11">
                  <c:v>8.729060194380969</c:v>
                </c:pt>
                <c:pt idx="12">
                  <c:v>9.672653138358708</c:v>
                </c:pt>
                <c:pt idx="13">
                  <c:v>10.032126671399052</c:v>
                </c:pt>
                <c:pt idx="14">
                  <c:v>9.715542830543523</c:v>
                </c:pt>
                <c:pt idx="15">
                  <c:v>8.666303718991129</c:v>
                </c:pt>
                <c:pt idx="16">
                  <c:v>6.873418934144147</c:v>
                </c:pt>
                <c:pt idx="17">
                  <c:v>4.37958766176019</c:v>
                </c:pt>
                <c:pt idx="18">
                  <c:v>1.2859200000000026</c:v>
                </c:pt>
                <c:pt idx="19">
                  <c:v>-2.247701922959656</c:v>
                </c:pt>
                <c:pt idx="20">
                  <c:v>-6.007320648228822</c:v>
                </c:pt>
                <c:pt idx="21">
                  <c:v>-9.734947891349375</c:v>
                </c:pt>
                <c:pt idx="22">
                  <c:v>-13.143765344051744</c:v>
                </c:pt>
                <c:pt idx="23">
                  <c:v>-15.937776214942392</c:v>
                </c:pt>
                <c:pt idx="24">
                  <c:v>-17.834702663456863</c:v>
                </c:pt>
              </c:numCache>
            </c:numRef>
          </c:val>
          <c:smooth val="0"/>
        </c:ser>
        <c:marker val="1"/>
        <c:axId val="10148501"/>
        <c:axId val="15078786"/>
      </c:lineChart>
      <c:catAx>
        <c:axId val="1014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8786"/>
        <c:crosses val="autoZero"/>
        <c:auto val="1"/>
        <c:lblOffset val="100"/>
        <c:noMultiLvlLbl val="0"/>
      </c:catAx>
      <c:valAx>
        <c:axId val="15078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48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25"/>
          <c:y val="0.6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7825"/>
          <c:h val="0.962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Расчеты!$A$43</c:f>
              <c:strCache>
                <c:ptCount val="1"/>
                <c:pt idx="0">
                  <c:v>(Y)C1=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Расчеты!$B$43:$IV$43</c:f>
              <c:numCache>
                <c:ptCount val="26"/>
                <c:pt idx="0">
                  <c:v>0</c:v>
                </c:pt>
                <c:pt idx="1">
                  <c:v>1.8490032582124083</c:v>
                </c:pt>
                <c:pt idx="2">
                  <c:v>3.5719999999999996</c:v>
                </c:pt>
                <c:pt idx="3">
                  <c:v>5.051570844796695</c:v>
                </c:pt>
                <c:pt idx="4">
                  <c:v>6.186885484636029</c:v>
                </c:pt>
                <c:pt idx="5">
                  <c:v>6.900574103009104</c:v>
                </c:pt>
                <c:pt idx="6">
                  <c:v>7.144</c:v>
                </c:pt>
                <c:pt idx="7">
                  <c:v>6.900574103009104</c:v>
                </c:pt>
                <c:pt idx="8">
                  <c:v>6.18688548463603</c:v>
                </c:pt>
                <c:pt idx="9">
                  <c:v>5.051570844796696</c:v>
                </c:pt>
                <c:pt idx="10">
                  <c:v>3.5719999999999996</c:v>
                </c:pt>
                <c:pt idx="11">
                  <c:v>1.84900325821241</c:v>
                </c:pt>
                <c:pt idx="12">
                  <c:v>8.752460561867182E-16</c:v>
                </c:pt>
                <c:pt idx="13">
                  <c:v>-1.8490032582124085</c:v>
                </c:pt>
                <c:pt idx="14">
                  <c:v>-3.572000000000001</c:v>
                </c:pt>
                <c:pt idx="15">
                  <c:v>-5.051570844796695</c:v>
                </c:pt>
                <c:pt idx="16">
                  <c:v>-6.1868854846360275</c:v>
                </c:pt>
                <c:pt idx="17">
                  <c:v>-6.900574103009104</c:v>
                </c:pt>
                <c:pt idx="18">
                  <c:v>-7.144</c:v>
                </c:pt>
                <c:pt idx="19">
                  <c:v>-6.900574103009105</c:v>
                </c:pt>
                <c:pt idx="20">
                  <c:v>-6.186885484636029</c:v>
                </c:pt>
                <c:pt idx="21">
                  <c:v>-5.0515708447966965</c:v>
                </c:pt>
                <c:pt idx="22">
                  <c:v>-3.572000000000003</c:v>
                </c:pt>
                <c:pt idx="23">
                  <c:v>-1.8490032582124079</c:v>
                </c:pt>
                <c:pt idx="24">
                  <c:v>-1.7504921123734363E-15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Расчеты!$A$45</c:f>
              <c:strCache>
                <c:ptCount val="1"/>
                <c:pt idx="0">
                  <c:v>(Y_t)C1=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Расчеты!$B$45:$IV$45</c:f>
              <c:numCache>
                <c:ptCount val="26"/>
                <c:pt idx="0">
                  <c:v>7.144</c:v>
                </c:pt>
                <c:pt idx="1">
                  <c:v>6.900574103009104</c:v>
                </c:pt>
                <c:pt idx="2">
                  <c:v>6.203082712958642</c:v>
                </c:pt>
                <c:pt idx="3">
                  <c:v>5.091245789434449</c:v>
                </c:pt>
                <c:pt idx="4">
                  <c:v>3.628035590266931</c:v>
                </c:pt>
                <c:pt idx="5">
                  <c:v>1.8972212416428904</c:v>
                </c:pt>
                <c:pt idx="6">
                  <c:v>4.546752797197294E-16</c:v>
                </c:pt>
                <c:pt idx="7">
                  <c:v>-1.9493567308429798</c:v>
                </c:pt>
                <c:pt idx="8">
                  <c:v>-3.8288733012400207</c:v>
                </c:pt>
                <c:pt idx="9">
                  <c:v>-5.515197795269224</c:v>
                </c:pt>
                <c:pt idx="10">
                  <c:v>-6.890705442082275</c:v>
                </c:pt>
                <c:pt idx="11">
                  <c:v>-7.851053238958001</c:v>
                </c:pt>
                <c:pt idx="12">
                  <c:v>-8.31272723120605</c:v>
                </c:pt>
                <c:pt idx="13">
                  <c:v>-8.220020656103197</c:v>
                </c:pt>
                <c:pt idx="14">
                  <c:v>-7.550828644625209</c:v>
                </c:pt>
                <c:pt idx="15">
                  <c:v>-6.3206559785364655</c:v>
                </c:pt>
                <c:pt idx="16">
                  <c:v>-4.58431277735101</c:v>
                </c:pt>
                <c:pt idx="17">
                  <c:v>-2.434914901227854</c:v>
                </c:pt>
                <c:pt idx="18">
                  <c:v>-1.7744184270448979E-15</c:v>
                </c:pt>
                <c:pt idx="19">
                  <c:v>2.5652004091381806</c:v>
                </c:pt>
                <c:pt idx="20">
                  <c:v>5.087048294020545</c:v>
                </c:pt>
                <c:pt idx="21">
                  <c:v>7.3848247253103825</c:v>
                </c:pt>
                <c:pt idx="22">
                  <c:v>9.283365397840493</c:v>
                </c:pt>
                <c:pt idx="23">
                  <c:v>10.626119617639636</c:v>
                </c:pt>
                <c:pt idx="24">
                  <c:v>11.287653247142908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Расчеты!$A$47</c:f>
              <c:strCache>
                <c:ptCount val="1"/>
                <c:pt idx="0">
                  <c:v>(Y_tt)C1=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Расчеты!$B$47:$IV$47</c:f>
              <c:numCache>
                <c:ptCount val="26"/>
                <c:pt idx="0">
                  <c:v>0</c:v>
                </c:pt>
                <c:pt idx="1">
                  <c:v>-1.7799975171823172</c:v>
                </c:pt>
                <c:pt idx="2">
                  <c:v>-3.4669897206736784</c:v>
                </c:pt>
                <c:pt idx="3">
                  <c:v>-4.979685215014816</c:v>
                </c:pt>
                <c:pt idx="4">
                  <c:v>-6.239641032721778</c:v>
                </c:pt>
                <c:pt idx="5">
                  <c:v>-7.172720623929993</c:v>
                </c:pt>
                <c:pt idx="6">
                  <c:v>-7.711587619800613</c:v>
                </c:pt>
                <c:pt idx="7">
                  <c:v>-7.799379913510282</c:v>
                </c:pt>
                <c:pt idx="8">
                  <c:v>-7.394476070479097</c:v>
                </c:pt>
                <c:pt idx="9">
                  <c:v>-6.476017232271267</c:v>
                </c:pt>
                <c:pt idx="10">
                  <c:v>-5.049616272385054</c:v>
                </c:pt>
                <c:pt idx="11">
                  <c:v>-3.1525060633805015</c:v>
                </c:pt>
                <c:pt idx="12">
                  <c:v>-0.8572800000000012</c:v>
                </c:pt>
                <c:pt idx="13">
                  <c:v>1.7266185456976504</c:v>
                </c:pt>
                <c:pt idx="14">
                  <c:v>4.454385978072252</c:v>
                </c:pt>
                <c:pt idx="15">
                  <c:v>7.150832465552118</c:v>
                </c:pt>
                <c:pt idx="16">
                  <c:v>9.619030815643569</c:v>
                </c:pt>
                <c:pt idx="17">
                  <c:v>11.652453279844623</c:v>
                </c:pt>
                <c:pt idx="18">
                  <c:v>13.050005073424947</c:v>
                </c:pt>
                <c:pt idx="19">
                  <c:v>13.632974095042648</c:v>
                </c:pt>
                <c:pt idx="20">
                  <c:v>13.262584580089918</c:v>
                </c:pt>
                <c:pt idx="21">
                  <c:v>11.85660764616399</c:v>
                </c:pt>
                <c:pt idx="22">
                  <c:v>9.40337620171346</c:v>
                </c:pt>
                <c:pt idx="23">
                  <c:v>5.971597263497184</c:v>
                </c:pt>
                <c:pt idx="24">
                  <c:v>1.714560000000005</c:v>
                </c:pt>
              </c:numCache>
            </c:numRef>
          </c:val>
          <c:smooth val="0"/>
        </c:ser>
        <c:marker val="1"/>
        <c:axId val="47390715"/>
        <c:axId val="5152464"/>
      </c:lineChart>
      <c:catAx>
        <c:axId val="4739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464"/>
        <c:crosses val="autoZero"/>
        <c:auto val="1"/>
        <c:lblOffset val="100"/>
        <c:noMultiLvlLbl val="0"/>
      </c:catAx>
      <c:valAx>
        <c:axId val="5152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90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"/>
          <c:y val="0.0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7"/>
          <c:h val="0.961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Расчеты!$A$68</c:f>
              <c:strCache>
                <c:ptCount val="1"/>
                <c:pt idx="0">
                  <c:v>X(B)=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Расчеты!$B$68:$IV$68</c:f>
              <c:numCache>
                <c:ptCount val="26"/>
                <c:pt idx="0">
                  <c:v>27.442404899026897</c:v>
                </c:pt>
                <c:pt idx="1">
                  <c:v>26.943535304192512</c:v>
                </c:pt>
                <c:pt idx="2">
                  <c:v>25.986868239367833</c:v>
                </c:pt>
                <c:pt idx="3">
                  <c:v>24.67631781626217</c:v>
                </c:pt>
                <c:pt idx="4">
                  <c:v>23.11707502481958</c:v>
                </c:pt>
                <c:pt idx="5">
                  <c:v>21.418514827707302</c:v>
                </c:pt>
                <c:pt idx="6">
                  <c:v>19.690992523193117</c:v>
                </c:pt>
                <c:pt idx="7">
                  <c:v>18.038080252268077</c:v>
                </c:pt>
                <c:pt idx="8">
                  <c:v>16.547521643066755</c:v>
                </c:pt>
                <c:pt idx="9">
                  <c:v>15.284647968523934</c:v>
                </c:pt>
                <c:pt idx="10">
                  <c:v>14.29111239252246</c:v>
                </c:pt>
                <c:pt idx="11">
                  <c:v>13.589504147391322</c:v>
                </c:pt>
                <c:pt idx="12">
                  <c:v>13.191958418868978</c:v>
                </c:pt>
                <c:pt idx="13">
                  <c:v>13.109865925756534</c:v>
                </c:pt>
                <c:pt idx="14">
                  <c:v>13.362313444145329</c:v>
                </c:pt>
                <c:pt idx="15">
                  <c:v>13.98148441395566</c:v>
                </c:pt>
                <c:pt idx="16">
                  <c:v>15.012100563369605</c:v>
                </c:pt>
                <c:pt idx="17">
                  <c:v>16.497831771470686</c:v>
                </c:pt>
                <c:pt idx="18">
                  <c:v>18.44217756585438</c:v>
                </c:pt>
                <c:pt idx="19">
                  <c:v>20.738508953162576</c:v>
                </c:pt>
                <c:pt idx="20">
                  <c:v>23.11262418164411</c:v>
                </c:pt>
                <c:pt idx="21">
                  <c:v>25.18136646487643</c:v>
                </c:pt>
                <c:pt idx="22">
                  <c:v>26.63783275129015</c:v>
                </c:pt>
                <c:pt idx="23">
                  <c:v>27.375318545919463</c:v>
                </c:pt>
                <c:pt idx="24">
                  <c:v>27.442404899026897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Расчеты!$A$70</c:f>
              <c:strCache>
                <c:ptCount val="1"/>
                <c:pt idx="0">
                  <c:v>X_t(B)=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Расчеты!$B$70:$IV$70</c:f>
              <c:numCache>
                <c:ptCount val="26"/>
                <c:pt idx="0">
                  <c:v>-0.8952028418121797</c:v>
                </c:pt>
                <c:pt idx="1">
                  <c:v>-2.846845492526577</c:v>
                </c:pt>
                <c:pt idx="2">
                  <c:v>-4.407390036974796</c:v>
                </c:pt>
                <c:pt idx="3">
                  <c:v>-5.592807399992202</c:v>
                </c:pt>
                <c:pt idx="4">
                  <c:v>-6.391377140006152</c:v>
                </c:pt>
                <c:pt idx="5">
                  <c:v>-6.785045399976936</c:v>
                </c:pt>
                <c:pt idx="6">
                  <c:v>-6.772130746884344</c:v>
                </c:pt>
                <c:pt idx="7">
                  <c:v>-6.381380786018324</c:v>
                </c:pt>
                <c:pt idx="8">
                  <c:v>-5.6730850212130095</c:v>
                </c:pt>
                <c:pt idx="9">
                  <c:v>-4.726260335042292</c:v>
                </c:pt>
                <c:pt idx="10">
                  <c:v>-3.616707236407118</c:v>
                </c:pt>
                <c:pt idx="11">
                  <c:v>-2.395522797735342</c:v>
                </c:pt>
                <c:pt idx="12">
                  <c:v>-1.0761087242937935</c:v>
                </c:pt>
                <c:pt idx="13">
                  <c:v>0.36862949149816404</c:v>
                </c:pt>
                <c:pt idx="14">
                  <c:v>2.0010165037335343</c:v>
                </c:pt>
                <c:pt idx="15">
                  <c:v>3.903531371679163</c:v>
                </c:pt>
                <c:pt idx="16">
                  <c:v>6.139456595525197</c:v>
                </c:pt>
                <c:pt idx="17">
                  <c:v>8.65638371274988</c:v>
                </c:pt>
                <c:pt idx="18">
                  <c:v>11.106137491038938</c:v>
                </c:pt>
                <c:pt idx="19">
                  <c:v>12.690845812670547</c:v>
                </c:pt>
                <c:pt idx="20">
                  <c:v>12.434471063731072</c:v>
                </c:pt>
                <c:pt idx="21">
                  <c:v>10.040632735719853</c:v>
                </c:pt>
                <c:pt idx="22">
                  <c:v>6.294463289848424</c:v>
                </c:pt>
                <c:pt idx="23">
                  <c:v>2.2748736307398927</c:v>
                </c:pt>
                <c:pt idx="24">
                  <c:v>-1.414437187042664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Расчеты!$A$72</c:f>
              <c:strCache>
                <c:ptCount val="1"/>
                <c:pt idx="0">
                  <c:v>X_tt(B)=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Расчеты!$B$72:$IV$72</c:f>
              <c:numCache>
                <c:ptCount val="26"/>
                <c:pt idx="0">
                  <c:v>-8.254517841189884</c:v>
                </c:pt>
                <c:pt idx="1">
                  <c:v>-6.701074777827294</c:v>
                </c:pt>
                <c:pt idx="2">
                  <c:v>-5.280541887762495</c:v>
                </c:pt>
                <c:pt idx="3">
                  <c:v>-3.8584614486055098</c:v>
                </c:pt>
                <c:pt idx="4">
                  <c:v>-2.3506877176532597</c:v>
                </c:pt>
                <c:pt idx="5">
                  <c:v>-0.7670722986890484</c:v>
                </c:pt>
                <c:pt idx="6">
                  <c:v>0.8052053183077961</c:v>
                </c:pt>
                <c:pt idx="7">
                  <c:v>2.240506739062869</c:v>
                </c:pt>
                <c:pt idx="8">
                  <c:v>3.4278063106784793</c:v>
                </c:pt>
                <c:pt idx="9">
                  <c:v>4.322966536019839</c:v>
                </c:pt>
                <c:pt idx="10">
                  <c:v>4.9747191147333485</c:v>
                </c:pt>
                <c:pt idx="11">
                  <c:v>5.511899968801044</c:v>
                </c:pt>
                <c:pt idx="12">
                  <c:v>6.1073507090528985</c:v>
                </c:pt>
                <c:pt idx="13">
                  <c:v>6.942476650589796</c:v>
                </c:pt>
                <c:pt idx="14">
                  <c:v>8.173750276988098</c:v>
                </c:pt>
                <c:pt idx="15">
                  <c:v>9.86170606957733</c:v>
                </c:pt>
                <c:pt idx="16">
                  <c:v>11.77290727722279</c:v>
                </c:pt>
                <c:pt idx="17">
                  <c:v>12.952473223411618</c:v>
                </c:pt>
                <c:pt idx="18">
                  <c:v>11.27039489428712</c:v>
                </c:pt>
                <c:pt idx="19">
                  <c:v>4.2335337645138225</c:v>
                </c:pt>
                <c:pt idx="20">
                  <c:v>-7.505146563790366</c:v>
                </c:pt>
                <c:pt idx="21">
                  <c:v>-18.246700962713987</c:v>
                </c:pt>
                <c:pt idx="22">
                  <c:v>-23.13536090503809</c:v>
                </c:pt>
                <c:pt idx="23">
                  <c:v>-22.988736129523264</c:v>
                </c:pt>
                <c:pt idx="24">
                  <c:v>-20.82191353755304</c:v>
                </c:pt>
              </c:numCache>
            </c:numRef>
          </c:val>
          <c:smooth val="0"/>
        </c:ser>
        <c:marker val="1"/>
        <c:axId val="45864849"/>
        <c:axId val="46292366"/>
      </c:lineChart>
      <c:catAx>
        <c:axId val="4586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92366"/>
        <c:crosses val="autoZero"/>
        <c:auto val="1"/>
        <c:lblOffset val="100"/>
        <c:noMultiLvlLbl val="0"/>
      </c:catAx>
      <c:valAx>
        <c:axId val="46292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6484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6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7625"/>
          <c:h val="0.961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Расчеты!$A$69</c:f>
              <c:strCache>
                <c:ptCount val="1"/>
                <c:pt idx="0">
                  <c:v>Y(B)=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Расчеты!$B$69:$IV$69</c:f>
              <c:numCache>
                <c:ptCount val="26"/>
                <c:pt idx="0">
                  <c:v>-2.8394286953485417</c:v>
                </c:pt>
                <c:pt idx="1">
                  <c:v>-2.438617051392302</c:v>
                </c:pt>
                <c:pt idx="2">
                  <c:v>-1.7284424699946097</c:v>
                </c:pt>
                <c:pt idx="3">
                  <c:v>-0.8680374474790349</c:v>
                </c:pt>
                <c:pt idx="4">
                  <c:v>0.00589291492990851</c:v>
                </c:pt>
                <c:pt idx="5">
                  <c:v>0.7939490442822525</c:v>
                </c:pt>
                <c:pt idx="6">
                  <c:v>1.4378237968690537</c:v>
                </c:pt>
                <c:pt idx="7">
                  <c:v>1.9172440002700832</c:v>
                </c:pt>
                <c:pt idx="8">
                  <c:v>2.2419339809427354</c:v>
                </c:pt>
                <c:pt idx="9">
                  <c:v>2.440441169242856</c:v>
                </c:pt>
                <c:pt idx="10">
                  <c:v>2.548497834493453</c:v>
                </c:pt>
                <c:pt idx="11">
                  <c:v>2.59964180117314</c:v>
                </c:pt>
                <c:pt idx="12">
                  <c:v>2.6194401793862023</c:v>
                </c:pt>
                <c:pt idx="13">
                  <c:v>2.622703526088918</c:v>
                </c:pt>
                <c:pt idx="14">
                  <c:v>2.611767551930556</c:v>
                </c:pt>
                <c:pt idx="15">
                  <c:v>2.5736237987204826</c:v>
                </c:pt>
                <c:pt idx="16">
                  <c:v>2.4742652971968067</c:v>
                </c:pt>
                <c:pt idx="17">
                  <c:v>2.251056071100871</c:v>
                </c:pt>
                <c:pt idx="18">
                  <c:v>1.8118761513717145</c:v>
                </c:pt>
                <c:pt idx="19">
                  <c:v>1.0655419084081803</c:v>
                </c:pt>
                <c:pt idx="20">
                  <c:v>0.00817292660719815</c:v>
                </c:pt>
                <c:pt idx="21">
                  <c:v>-1.185136721702993</c:v>
                </c:pt>
                <c:pt idx="22">
                  <c:v>-2.203597578450197</c:v>
                </c:pt>
                <c:pt idx="23">
                  <c:v>-2.7842416566354773</c:v>
                </c:pt>
                <c:pt idx="24">
                  <c:v>-2.8394286953485435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Расчеты!$A$71</c:f>
              <c:strCache>
                <c:ptCount val="1"/>
                <c:pt idx="0">
                  <c:v>Y_t(B)=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Расчеты!$B$71:$IV$71</c:f>
              <c:numCache>
                <c:ptCount val="26"/>
                <c:pt idx="0">
                  <c:v>0.7391452819351629</c:v>
                </c:pt>
                <c:pt idx="1">
                  <c:v>2.2253175781972665</c:v>
                </c:pt>
                <c:pt idx="2">
                  <c:v>3.104714871369632</c:v>
                </c:pt>
                <c:pt idx="3">
                  <c:v>3.41512189189267</c:v>
                </c:pt>
                <c:pt idx="4">
                  <c:v>3.2749222962849727</c:v>
                </c:pt>
                <c:pt idx="5">
                  <c:v>2.8310032534695995</c:v>
                </c:pt>
                <c:pt idx="6">
                  <c:v>2.23108338089867</c:v>
                </c:pt>
                <c:pt idx="7">
                  <c:v>1.604626851861621</c:v>
                </c:pt>
                <c:pt idx="8">
                  <c:v>1.047656489592013</c:v>
                </c:pt>
                <c:pt idx="9">
                  <c:v>0.6140934465906724</c:v>
                </c:pt>
                <c:pt idx="10">
                  <c:v>0.31712443167962867</c:v>
                </c:pt>
                <c:pt idx="11">
                  <c:v>0.13927358787696775</c:v>
                </c:pt>
                <c:pt idx="12">
                  <c:v>0.04462709414083754</c:v>
                </c:pt>
                <c:pt idx="13">
                  <c:v>-0.01402029721170095</c:v>
                </c:pt>
                <c:pt idx="14">
                  <c:v>-0.09726626771505398</c:v>
                </c:pt>
                <c:pt idx="15">
                  <c:v>-0.29128716933229093</c:v>
                </c:pt>
                <c:pt idx="16">
                  <c:v>-0.7261957051137711</c:v>
                </c:pt>
                <c:pt idx="17">
                  <c:v>-1.5797032979913763</c:v>
                </c:pt>
                <c:pt idx="18">
                  <c:v>-2.9996042656079607</c:v>
                </c:pt>
                <c:pt idx="19">
                  <c:v>-4.844993295420922</c:v>
                </c:pt>
                <c:pt idx="20">
                  <c:v>-6.368106269993152</c:v>
                </c:pt>
                <c:pt idx="21">
                  <c:v>-6.47984186013564</c:v>
                </c:pt>
                <c:pt idx="22">
                  <c:v>-4.758928212332451</c:v>
                </c:pt>
                <c:pt idx="23">
                  <c:v>-1.8644622249869514</c:v>
                </c:pt>
                <c:pt idx="24">
                  <c:v>1.1678633317113363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Расчеты!$A$73</c:f>
              <c:strCache>
                <c:ptCount val="1"/>
                <c:pt idx="0">
                  <c:v>Y_tt(B)=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Расчеты!$B$73:$IV$73</c:f>
              <c:numCache>
                <c:ptCount val="26"/>
                <c:pt idx="0">
                  <c:v>6.7425312712017424</c:v>
                </c:pt>
                <c:pt idx="1">
                  <c:v>4.545847206135394</c:v>
                </c:pt>
                <c:pt idx="2">
                  <c:v>2.234763063770517</c:v>
                </c:pt>
                <c:pt idx="3">
                  <c:v>0.25434850672552656</c:v>
                </c:pt>
                <c:pt idx="4">
                  <c:v>-1.2161979656246833</c:v>
                </c:pt>
                <c:pt idx="5">
                  <c:v>-2.1263809854614117</c:v>
                </c:pt>
                <c:pt idx="6">
                  <c:v>-2.501174933562842</c:v>
                </c:pt>
                <c:pt idx="7">
                  <c:v>-2.4282428275130243</c:v>
                </c:pt>
                <c:pt idx="8">
                  <c:v>-2.0467281889846536</c:v>
                </c:pt>
                <c:pt idx="9">
                  <c:v>-1.5184838900877062</c:v>
                </c:pt>
                <c:pt idx="10">
                  <c:v>-0.9889023657948948</c:v>
                </c:pt>
                <c:pt idx="11">
                  <c:v>-0.5613780568354146</c:v>
                </c:pt>
                <c:pt idx="12">
                  <c:v>-0.3017729287445365</c:v>
                </c:pt>
                <c:pt idx="13">
                  <c:v>-0.2697357014198254</c:v>
                </c:pt>
                <c:pt idx="14">
                  <c:v>-0.5651605462344003</c:v>
                </c:pt>
                <c:pt idx="15">
                  <c:v>-1.3777079391033966</c:v>
                </c:pt>
                <c:pt idx="16">
                  <c:v>-3.0001720678051806</c:v>
                </c:pt>
                <c:pt idx="17">
                  <c:v>-5.65138106881194</c:v>
                </c:pt>
                <c:pt idx="18">
                  <c:v>-8.770197649035202</c:v>
                </c:pt>
                <c:pt idx="19">
                  <c:v>-9.86694596219489</c:v>
                </c:pt>
                <c:pt idx="20">
                  <c:v>-5.3157070112028935</c:v>
                </c:pt>
                <c:pt idx="21">
                  <c:v>4.676365650842863</c:v>
                </c:pt>
                <c:pt idx="22">
                  <c:v>14.230785440697614</c:v>
                </c:pt>
                <c:pt idx="23">
                  <c:v>18.37408536017566</c:v>
                </c:pt>
                <c:pt idx="24">
                  <c:v>17.009847334201805</c:v>
                </c:pt>
              </c:numCache>
            </c:numRef>
          </c:val>
          <c:smooth val="0"/>
        </c:ser>
        <c:marker val="1"/>
        <c:axId val="5262039"/>
        <c:axId val="52548924"/>
      </c:lineChart>
      <c:catAx>
        <c:axId val="526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48924"/>
        <c:crosses val="autoZero"/>
        <c:auto val="1"/>
        <c:lblOffset val="100"/>
        <c:noMultiLvlLbl val="0"/>
      </c:catAx>
      <c:valAx>
        <c:axId val="52548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203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4"/>
          <c:y val="0.1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Момент на приводном валу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675"/>
          <c:w val="0.9392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Расчеты!$A$300</c:f>
              <c:strCache>
                <c:ptCount val="1"/>
                <c:pt idx="0">
                  <c:v>W (M0)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Расчеты!$B$300:$IV$300</c:f>
              <c:numCache/>
            </c:numRef>
          </c:val>
          <c:smooth val="0"/>
        </c:ser>
        <c:marker val="1"/>
        <c:axId val="64120875"/>
        <c:axId val="19059264"/>
      </c:lineChart>
      <c:catAx>
        <c:axId val="64120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059264"/>
        <c:crosses val="autoZero"/>
        <c:auto val="1"/>
        <c:lblOffset val="100"/>
        <c:noMultiLvlLbl val="0"/>
      </c:catAx>
      <c:valAx>
        <c:axId val="1905926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412087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31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0375"/>
          <c:w val="0.972"/>
          <c:h val="0.958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Расчеты!$A$76</c:f>
              <c:strCache>
                <c:ptCount val="1"/>
                <c:pt idx="0">
                  <c:v>X(С2)=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Расчеты!$B$76:$IV$76</c:f>
              <c:numCache>
                <c:ptCount val="26"/>
                <c:pt idx="0">
                  <c:v>12</c:v>
                </c:pt>
                <c:pt idx="1">
                  <c:v>12.761502491735278</c:v>
                </c:pt>
                <c:pt idx="2">
                  <c:v>12.74178818120915</c:v>
                </c:pt>
                <c:pt idx="3">
                  <c:v>12.027177775671769</c:v>
                </c:pt>
                <c:pt idx="4">
                  <c:v>10.724695556778778</c:v>
                </c:pt>
                <c:pt idx="5">
                  <c:v>8.95217667836091</c:v>
                </c:pt>
                <c:pt idx="6">
                  <c:v>6.832974195819404</c:v>
                </c:pt>
                <c:pt idx="7">
                  <c:v>4.4925739244261464</c:v>
                </c:pt>
                <c:pt idx="8">
                  <c:v>2.056536994029788</c:v>
                </c:pt>
                <c:pt idx="9">
                  <c:v>-0.3505845723419337</c:v>
                </c:pt>
                <c:pt idx="10">
                  <c:v>-2.6063258420490465</c:v>
                </c:pt>
                <c:pt idx="11">
                  <c:v>-4.592628190683899</c:v>
                </c:pt>
                <c:pt idx="12">
                  <c:v>-6.1999663363200614</c:v>
                </c:pt>
                <c:pt idx="13">
                  <c:v>-7.332599251249935</c:v>
                </c:pt>
                <c:pt idx="14">
                  <c:v>-7.913305402431937</c:v>
                </c:pt>
                <c:pt idx="15">
                  <c:v>-7.885766650227154</c:v>
                </c:pt>
                <c:pt idx="16">
                  <c:v>-7.213477399682941</c:v>
                </c:pt>
                <c:pt idx="17">
                  <c:v>-5.876545103539701</c:v>
                </c:pt>
                <c:pt idx="18">
                  <c:v>-3.874381114834991</c:v>
                </c:pt>
                <c:pt idx="19">
                  <c:v>-1.252775736344005</c:v>
                </c:pt>
                <c:pt idx="20">
                  <c:v>1.8326201855750703</c:v>
                </c:pt>
                <c:pt idx="21">
                  <c:v>5.066739731656729</c:v>
                </c:pt>
                <c:pt idx="22">
                  <c:v>8.041194509297572</c:v>
                </c:pt>
                <c:pt idx="23">
                  <c:v>10.413105743957244</c:v>
                </c:pt>
                <c:pt idx="24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Расчеты!$A$78</c:f>
              <c:strCache>
                <c:ptCount val="1"/>
                <c:pt idx="0">
                  <c:v>X_t(С2)=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Расчеты!$B$78:$IV$78</c:f>
              <c:numCache>
                <c:ptCount val="26"/>
                <c:pt idx="0">
                  <c:v>4.476914801402526</c:v>
                </c:pt>
                <c:pt idx="1">
                  <c:v>1.3713404758781556</c:v>
                </c:pt>
                <c:pt idx="2">
                  <c:v>-1.4695729652317526</c:v>
                </c:pt>
                <c:pt idx="3">
                  <c:v>-3.955609717765382</c:v>
                </c:pt>
                <c:pt idx="4">
                  <c:v>-6.04345615158283</c:v>
                </c:pt>
                <c:pt idx="5">
                  <c:v>-7.708092183806033</c:v>
                </c:pt>
                <c:pt idx="6">
                  <c:v>-8.932307402634462</c:v>
                </c:pt>
                <c:pt idx="7">
                  <c:v>-9.701473560577785</c:v>
                </c:pt>
                <c:pt idx="8">
                  <c:v>-9.999410055345734</c:v>
                </c:pt>
                <c:pt idx="9">
                  <c:v>-9.806776497184535</c:v>
                </c:pt>
                <c:pt idx="10">
                  <c:v>-9.104744526488412</c:v>
                </c:pt>
                <c:pt idx="11">
                  <c:v>-7.883820217508434</c:v>
                </c:pt>
                <c:pt idx="12">
                  <c:v>-6.153692730213414</c:v>
                </c:pt>
                <c:pt idx="13">
                  <c:v>-3.9486628340627514</c:v>
                </c:pt>
                <c:pt idx="14">
                  <c:v>-1.3249920649208615</c:v>
                </c:pt>
                <c:pt idx="15">
                  <c:v>1.6503759886707714</c:v>
                </c:pt>
                <c:pt idx="16">
                  <c:v>4.9148650278384665</c:v>
                </c:pt>
                <c:pt idx="17">
                  <c:v>8.409241176868175</c:v>
                </c:pt>
                <c:pt idx="18">
                  <c:v>12.008528153926575</c:v>
                </c:pt>
                <c:pt idx="19">
                  <c:v>15.327410759165364</c:v>
                </c:pt>
                <c:pt idx="20">
                  <c:v>17.542286804116422</c:v>
                </c:pt>
                <c:pt idx="21">
                  <c:v>17.713557143292277</c:v>
                </c:pt>
                <c:pt idx="22">
                  <c:v>15.577417503438692</c:v>
                </c:pt>
                <c:pt idx="23">
                  <c:v>11.740904550728956</c:v>
                </c:pt>
                <c:pt idx="24">
                  <c:v>7.07360888791061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Расчеты!$A$80</c:f>
              <c:strCache>
                <c:ptCount val="1"/>
                <c:pt idx="0">
                  <c:v>X_tt(С2)=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Расчеты!$B$80:$IV$80</c:f>
              <c:numCache>
                <c:ptCount val="26"/>
                <c:pt idx="0">
                  <c:v>-12.14156717421499</c:v>
                </c:pt>
                <c:pt idx="1">
                  <c:v>-11.432033949739262</c:v>
                </c:pt>
                <c:pt idx="2">
                  <c:v>-10.244734305457818</c:v>
                </c:pt>
                <c:pt idx="3">
                  <c:v>-8.842916464161624</c:v>
                </c:pt>
                <c:pt idx="4">
                  <c:v>-7.319467977928106</c:v>
                </c:pt>
                <c:pt idx="5">
                  <c:v>-5.703568231906539</c:v>
                </c:pt>
                <c:pt idx="6">
                  <c:v>-3.999484410314788</c:v>
                </c:pt>
                <c:pt idx="7">
                  <c:v>-2.1937036361205706</c:v>
                </c:pt>
                <c:pt idx="8">
                  <c:v>-0.2588821256905047</c:v>
                </c:pt>
                <c:pt idx="9">
                  <c:v>1.8302772013969406</c:v>
                </c:pt>
                <c:pt idx="10">
                  <c:v>4.071610876806626</c:v>
                </c:pt>
                <c:pt idx="11">
                  <c:v>6.416817850849698</c:v>
                </c:pt>
                <c:pt idx="12">
                  <c:v>8.773985933049216</c:v>
                </c:pt>
                <c:pt idx="13">
                  <c:v>11.03267598377909</c:v>
                </c:pt>
                <c:pt idx="14">
                  <c:v>13.103260486123508</c:v>
                </c:pt>
                <c:pt idx="15">
                  <c:v>14.955904764018882</c:v>
                </c:pt>
                <c:pt idx="16">
                  <c:v>16.61773063053459</c:v>
                </c:pt>
                <c:pt idx="17">
                  <c:v>18.001832431095735</c:v>
                </c:pt>
                <c:pt idx="18">
                  <c:v>18.351646515231725</c:v>
                </c:pt>
                <c:pt idx="19">
                  <c:v>15.540537992063461</c:v>
                </c:pt>
                <c:pt idx="20">
                  <c:v>7.137146520791315</c:v>
                </c:pt>
                <c:pt idx="21">
                  <c:v>-5.7553775853297084</c:v>
                </c:pt>
                <c:pt idx="22">
                  <c:v>-17.99864951266403</c:v>
                </c:pt>
                <c:pt idx="23">
                  <c:v>-25.826930521144753</c:v>
                </c:pt>
                <c:pt idx="24">
                  <c:v>-29.236464358709373</c:v>
                </c:pt>
              </c:numCache>
            </c:numRef>
          </c:val>
          <c:smooth val="0"/>
        </c:ser>
        <c:marker val="1"/>
        <c:axId val="51367757"/>
        <c:axId val="46425434"/>
      </c:lineChart>
      <c:catAx>
        <c:axId val="5136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25434"/>
        <c:crosses val="autoZero"/>
        <c:auto val="1"/>
        <c:lblOffset val="100"/>
        <c:noMultiLvlLbl val="0"/>
      </c:catAx>
      <c:valAx>
        <c:axId val="46425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6775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15"/>
          <c:y val="0.6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7"/>
          <c:h val="0.962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Расчеты!$A$77</c:f>
              <c:strCache>
                <c:ptCount val="1"/>
                <c:pt idx="0">
                  <c:v>Y(С2)=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Расчеты!$B$77:$IV$77</c:f>
              <c:numCache>
                <c:ptCount val="26"/>
                <c:pt idx="0">
                  <c:v>14.2</c:v>
                </c:pt>
                <c:pt idx="1">
                  <c:v>15.66331501774727</c:v>
                </c:pt>
                <c:pt idx="2">
                  <c:v>17.069904627086146</c:v>
                </c:pt>
                <c:pt idx="3">
                  <c:v>18.33636974365524</c:v>
                </c:pt>
                <c:pt idx="4">
                  <c:v>19.376977821290673</c:v>
                </c:pt>
                <c:pt idx="5">
                  <c:v>20.117520465619148</c:v>
                </c:pt>
                <c:pt idx="6">
                  <c:v>20.503011024438546</c:v>
                </c:pt>
                <c:pt idx="7">
                  <c:v>20.50028082560494</c:v>
                </c:pt>
                <c:pt idx="8">
                  <c:v>20.09750351066461</c:v>
                </c:pt>
                <c:pt idx="9">
                  <c:v>19.30310711275268</c:v>
                </c:pt>
                <c:pt idx="10">
                  <c:v>18.14614446589904</c:v>
                </c:pt>
                <c:pt idx="11">
                  <c:v>16.678706506261914</c:v>
                </c:pt>
                <c:pt idx="12">
                  <c:v>14.979183446074371</c:v>
                </c:pt>
                <c:pt idx="13">
                  <c:v>13.15435186888099</c:v>
                </c:pt>
                <c:pt idx="14">
                  <c:v>11.338625063344582</c:v>
                </c:pt>
                <c:pt idx="15">
                  <c:v>9.689333898587734</c:v>
                </c:pt>
                <c:pt idx="16">
                  <c:v>8.376272035385956</c:v>
                </c:pt>
                <c:pt idx="17">
                  <c:v>7.561165183384484</c:v>
                </c:pt>
                <c:pt idx="18">
                  <c:v>7.3599576198349625</c:v>
                </c:pt>
                <c:pt idx="19">
                  <c:v>7.788145350113676</c:v>
                </c:pt>
                <c:pt idx="20">
                  <c:v>8.724332015141716</c:v>
                </c:pt>
                <c:pt idx="21">
                  <c:v>9.959897630536592</c:v>
                </c:pt>
                <c:pt idx="22">
                  <c:v>11.323229300970429</c:v>
                </c:pt>
                <c:pt idx="23">
                  <c:v>12.742938904892945</c:v>
                </c:pt>
                <c:pt idx="24">
                  <c:v>14.199999999999998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Расчеты!$A$79</c:f>
              <c:strCache>
                <c:ptCount val="1"/>
                <c:pt idx="0">
                  <c:v>Y_t(С2)=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Расчеты!$B$79:$IV$79</c:f>
              <c:numCache>
                <c:ptCount val="26"/>
                <c:pt idx="0">
                  <c:v>5.607760145435472</c:v>
                </c:pt>
                <c:pt idx="1">
                  <c:v>5.530072649892003</c:v>
                </c:pt>
                <c:pt idx="2">
                  <c:v>5.174664006286106</c:v>
                </c:pt>
                <c:pt idx="3">
                  <c:v>4.493475550535019</c:v>
                </c:pt>
                <c:pt idx="4">
                  <c:v>3.497499861469351</c:v>
                </c:pt>
                <c:pt idx="5">
                  <c:v>2.235512229373804</c:v>
                </c:pt>
                <c:pt idx="6">
                  <c:v>0.7742085703626074</c:v>
                </c:pt>
                <c:pt idx="7">
                  <c:v>-0.8154478705597006</c:v>
                </c:pt>
                <c:pt idx="8">
                  <c:v>-2.4634446014152003</c:v>
                </c:pt>
                <c:pt idx="9">
                  <c:v>-4.096611959590647</c:v>
                </c:pt>
                <c:pt idx="10">
                  <c:v>-5.628244977539838</c:v>
                </c:pt>
                <c:pt idx="11">
                  <c:v>-6.948480612227188</c:v>
                </c:pt>
                <c:pt idx="12">
                  <c:v>-7.921891696449573</c:v>
                </c:pt>
                <c:pt idx="13">
                  <c:v>-8.394104321251428</c:v>
                </c:pt>
                <c:pt idx="14">
                  <c:v>-8.205899930472672</c:v>
                </c:pt>
                <c:pt idx="15">
                  <c:v>-7.2154470571527165</c:v>
                </c:pt>
                <c:pt idx="16">
                  <c:v>-5.337721338320514</c:v>
                </c:pt>
                <c:pt idx="17">
                  <c:v>-2.621049176717596</c:v>
                </c:pt>
                <c:pt idx="18">
                  <c:v>0.6301647447624237</c:v>
                </c:pt>
                <c:pt idx="19">
                  <c:v>3.7798573065106953</c:v>
                </c:pt>
                <c:pt idx="20">
                  <c:v>6.102333778486935</c:v>
                </c:pt>
                <c:pt idx="21">
                  <c:v>7.368299431552357</c:v>
                </c:pt>
                <c:pt idx="22">
                  <c:v>8.003247489772269</c:v>
                </c:pt>
                <c:pt idx="23">
                  <c:v>8.4764254988693</c:v>
                </c:pt>
                <c:pt idx="24">
                  <c:v>8.86036562357549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Расчеты!$A$81</c:f>
              <c:strCache>
                <c:ptCount val="1"/>
                <c:pt idx="0">
                  <c:v>Y_tt(С2)=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Расчеты!$B$81:$IV$81</c:f>
              <c:numCache>
                <c:ptCount val="26"/>
                <c:pt idx="0">
                  <c:v>0.13500643350365538</c:v>
                </c:pt>
                <c:pt idx="1">
                  <c:v>-0.746909213038579</c:v>
                </c:pt>
                <c:pt idx="2">
                  <c:v>-1.949997657924081</c:v>
                </c:pt>
                <c:pt idx="3">
                  <c:v>-3.228827605707122</c:v>
                </c:pt>
                <c:pt idx="4">
                  <c:v>-4.403711755576132</c:v>
                </c:pt>
                <c:pt idx="5">
                  <c:v>-5.373537069247983</c:v>
                </c:pt>
                <c:pt idx="6">
                  <c:v>-6.097658679940242</c:v>
                </c:pt>
                <c:pt idx="7">
                  <c:v>-6.56876103845015</c:v>
                </c:pt>
                <c:pt idx="8">
                  <c:v>-6.777390214009197</c:v>
                </c:pt>
                <c:pt idx="9">
                  <c:v>-6.676397092421851</c:v>
                </c:pt>
                <c:pt idx="10">
                  <c:v>-6.164438668583304</c:v>
                </c:pt>
                <c:pt idx="11">
                  <c:v>-5.1003394737386945</c:v>
                </c:pt>
                <c:pt idx="12">
                  <c:v>-3.3387366062906843</c:v>
                </c:pt>
                <c:pt idx="13">
                  <c:v>-0.7683341798023391</c:v>
                </c:pt>
                <c:pt idx="14">
                  <c:v>2.6509006072334635</c:v>
                </c:pt>
                <c:pt idx="15">
                  <c:v>6.826030222066727</c:v>
                </c:pt>
                <c:pt idx="16">
                  <c:v>11.387003303148376</c:v>
                </c:pt>
                <c:pt idx="17">
                  <c:v>15.408597709995727</c:v>
                </c:pt>
                <c:pt idx="18">
                  <c:v>17.191864403078505</c:v>
                </c:pt>
                <c:pt idx="19">
                  <c:v>15.021629986340582</c:v>
                </c:pt>
                <c:pt idx="20">
                  <c:v>9.59755895729413</c:v>
                </c:pt>
                <c:pt idx="21">
                  <c:v>4.731414466464324</c:v>
                </c:pt>
                <c:pt idx="22">
                  <c:v>2.8814272036179585</c:v>
                </c:pt>
                <c:pt idx="23">
                  <c:v>2.6157990074133606</c:v>
                </c:pt>
                <c:pt idx="24">
                  <c:v>1.6829004527084725</c:v>
                </c:pt>
              </c:numCache>
            </c:numRef>
          </c:val>
          <c:smooth val="0"/>
        </c:ser>
        <c:marker val="1"/>
        <c:axId val="13379187"/>
        <c:axId val="10824040"/>
      </c:lineChart>
      <c:catAx>
        <c:axId val="1337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24040"/>
        <c:crosses val="autoZero"/>
        <c:auto val="1"/>
        <c:lblOffset val="100"/>
        <c:noMultiLvlLbl val="0"/>
      </c:catAx>
      <c:valAx>
        <c:axId val="10824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918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5"/>
          <c:y val="0.3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1275"/>
          <c:w val="0.97825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Расчеты!$A$92</c:f>
              <c:strCache>
                <c:ptCount val="1"/>
                <c:pt idx="0">
                  <c:v>(X)C3=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Расчеты!$B$92:$IV$92</c:f>
              <c:numCache>
                <c:ptCount val="26"/>
                <c:pt idx="0">
                  <c:v>34.5</c:v>
                </c:pt>
                <c:pt idx="1">
                  <c:v>33.735615470450654</c:v>
                </c:pt>
                <c:pt idx="2">
                  <c:v>32.271786488014016</c:v>
                </c:pt>
                <c:pt idx="3">
                  <c:v>30.27033239571847</c:v>
                </c:pt>
                <c:pt idx="4">
                  <c:v>27.894223288003896</c:v>
                </c:pt>
                <c:pt idx="5">
                  <c:v>25.311442987168554</c:v>
                </c:pt>
                <c:pt idx="6">
                  <c:v>22.690038653460316</c:v>
                </c:pt>
                <c:pt idx="7">
                  <c:v>20.18654466097307</c:v>
                </c:pt>
                <c:pt idx="8">
                  <c:v>17.932648759307856</c:v>
                </c:pt>
                <c:pt idx="9">
                  <c:v>16.025669706933883</c:v>
                </c:pt>
                <c:pt idx="10">
                  <c:v>14.527052603758118</c:v>
                </c:pt>
                <c:pt idx="11">
                  <c:v>13.469633747422527</c:v>
                </c:pt>
                <c:pt idx="12">
                  <c:v>12.87079377734431</c:v>
                </c:pt>
                <c:pt idx="13">
                  <c:v>12.74716271951922</c:v>
                </c:pt>
                <c:pt idx="14">
                  <c:v>13.127378895719769</c:v>
                </c:pt>
                <c:pt idx="15">
                  <c:v>14.060313419838735</c:v>
                </c:pt>
                <c:pt idx="16">
                  <c:v>15.614424299992177</c:v>
                </c:pt>
                <c:pt idx="17">
                  <c:v>17.85757043146984</c:v>
                </c:pt>
                <c:pt idx="18">
                  <c:v>20.798182040024784</c:v>
                </c:pt>
                <c:pt idx="19">
                  <c:v>24.278954347114997</c:v>
                </c:pt>
                <c:pt idx="20">
                  <c:v>27.887448080915263</c:v>
                </c:pt>
                <c:pt idx="21">
                  <c:v>31.041138235556055</c:v>
                </c:pt>
                <c:pt idx="22">
                  <c:v>33.26757183949205</c:v>
                </c:pt>
                <c:pt idx="23">
                  <c:v>34.39716384508243</c:v>
                </c:pt>
                <c:pt idx="24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Расчеты!$A$94</c:f>
              <c:strCache>
                <c:ptCount val="1"/>
                <c:pt idx="0">
                  <c:v>(X_t)C3=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Расчеты!$B$94:$IV$94</c:f>
              <c:numCache>
                <c:ptCount val="26"/>
                <c:pt idx="0">
                  <c:v>-1.372343250119312</c:v>
                </c:pt>
                <c:pt idx="1">
                  <c:v>-4.359902735236758</c:v>
                </c:pt>
                <c:pt idx="2">
                  <c:v>-6.7381583146096755</c:v>
                </c:pt>
                <c:pt idx="3">
                  <c:v>-8.532438415957783</c:v>
                </c:pt>
                <c:pt idx="4">
                  <c:v>-9.729175093929783</c:v>
                </c:pt>
                <c:pt idx="5">
                  <c:v>-10.306250168157415</c:v>
                </c:pt>
                <c:pt idx="6">
                  <c:v>-10.266208486392522</c:v>
                </c:pt>
                <c:pt idx="7">
                  <c:v>-9.656752264114273</c:v>
                </c:pt>
                <c:pt idx="8">
                  <c:v>-8.571893791974114</c:v>
                </c:pt>
                <c:pt idx="9">
                  <c:v>-7.132376786056789</c:v>
                </c:pt>
                <c:pt idx="10">
                  <c:v>-5.452706097988775</c:v>
                </c:pt>
                <c:pt idx="11">
                  <c:v>-3.6091636176772113</c:v>
                </c:pt>
                <c:pt idx="12">
                  <c:v>-1.6206801745954116</c:v>
                </c:pt>
                <c:pt idx="13">
                  <c:v>0.5551331877230913</c:v>
                </c:pt>
                <c:pt idx="14">
                  <c:v>3.014133901469698</c:v>
                </c:pt>
                <c:pt idx="15">
                  <c:v>5.883383090779081</c:v>
                </c:pt>
                <c:pt idx="16">
                  <c:v>9.262567540205168</c:v>
                </c:pt>
                <c:pt idx="17">
                  <c:v>13.07893699810042</c:v>
                </c:pt>
                <c:pt idx="18">
                  <c:v>16.813693442862295</c:v>
                </c:pt>
                <c:pt idx="19">
                  <c:v>19.26149266994637</c:v>
                </c:pt>
                <c:pt idx="20">
                  <c:v>18.928068793390075</c:v>
                </c:pt>
                <c:pt idx="21">
                  <c:v>15.330062952054512</c:v>
                </c:pt>
                <c:pt idx="22">
                  <c:v>9.63433760219378</c:v>
                </c:pt>
                <c:pt idx="23">
                  <c:v>3.4868989097453316</c:v>
                </c:pt>
                <c:pt idx="24">
                  <c:v>-2.168327931607485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Расчеты!$A$96</c:f>
              <c:strCache>
                <c:ptCount val="1"/>
                <c:pt idx="0">
                  <c:v>(X_tt)C3=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Расчеты!$B$96:$IV$96</c:f>
              <c:numCache>
                <c:ptCount val="26"/>
                <c:pt idx="0">
                  <c:v>-12.651642833990419</c:v>
                </c:pt>
                <c:pt idx="1">
                  <c:v>-10.238817767140688</c:v>
                </c:pt>
                <c:pt idx="2">
                  <c:v>-8.022043381713793</c:v>
                </c:pt>
                <c:pt idx="3">
                  <c:v>-5.8143004611043905</c:v>
                </c:pt>
                <c:pt idx="4">
                  <c:v>-3.4951369311741223</c:v>
                </c:pt>
                <c:pt idx="5">
                  <c:v>-1.081110563039928</c:v>
                </c:pt>
                <c:pt idx="6">
                  <c:v>1.2974636202081455</c:v>
                </c:pt>
                <c:pt idx="7">
                  <c:v>3.454557748914774</c:v>
                </c:pt>
                <c:pt idx="8">
                  <c:v>5.227899325701993</c:v>
                </c:pt>
                <c:pt idx="9">
                  <c:v>6.556638042591206</c:v>
                </c:pt>
                <c:pt idx="10">
                  <c:v>7.519092017970105</c:v>
                </c:pt>
                <c:pt idx="11">
                  <c:v>8.312663886994308</c:v>
                </c:pt>
                <c:pt idx="12">
                  <c:v>9.199679222795528</c:v>
                </c:pt>
                <c:pt idx="13">
                  <c:v>10.455135364999524</c:v>
                </c:pt>
                <c:pt idx="14">
                  <c:v>12.317897539032785</c:v>
                </c:pt>
                <c:pt idx="15">
                  <c:v>14.885563501954845</c:v>
                </c:pt>
                <c:pt idx="16">
                  <c:v>17.816955744074747</c:v>
                </c:pt>
                <c:pt idx="17">
                  <c:v>19.682848471830372</c:v>
                </c:pt>
                <c:pt idx="18">
                  <c:v>17.25908558365393</c:v>
                </c:pt>
                <c:pt idx="19">
                  <c:v>6.708881103405483</c:v>
                </c:pt>
                <c:pt idx="20">
                  <c:v>-11.10986167188773</c:v>
                </c:pt>
                <c:pt idx="21">
                  <c:v>-27.615213995998527</c:v>
                </c:pt>
                <c:pt idx="22">
                  <c:v>-35.29908190492313</c:v>
                </c:pt>
                <c:pt idx="23">
                  <c:v>-35.220806246374075</c:v>
                </c:pt>
                <c:pt idx="24">
                  <c:v>-31.913669231718707</c:v>
                </c:pt>
              </c:numCache>
            </c:numRef>
          </c:val>
          <c:smooth val="0"/>
        </c:ser>
        <c:marker val="1"/>
        <c:axId val="56286665"/>
        <c:axId val="10934502"/>
      </c:lineChart>
      <c:catAx>
        <c:axId val="56286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4502"/>
        <c:crosses val="autoZero"/>
        <c:auto val="1"/>
        <c:lblOffset val="100"/>
        <c:noMultiLvlLbl val="0"/>
      </c:catAx>
      <c:valAx>
        <c:axId val="10934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866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6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97825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Расчеты!$A$93</c:f>
              <c:strCache>
                <c:ptCount val="1"/>
                <c:pt idx="0">
                  <c:v>(Y)C3=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Расчеты!$B$93:$IV$93</c:f>
              <c:numCache>
                <c:ptCount val="26"/>
                <c:pt idx="0">
                  <c:v>7</c:v>
                </c:pt>
                <c:pt idx="1">
                  <c:v>7.585935441125784</c:v>
                </c:pt>
                <c:pt idx="2">
                  <c:v>8.621620731163247</c:v>
                </c:pt>
                <c:pt idx="3">
                  <c:v>9.871190017518543</c:v>
                </c:pt>
                <c:pt idx="4">
                  <c:v>11.13256627814512</c:v>
                </c:pt>
                <c:pt idx="5">
                  <c:v>12.259947300230202</c:v>
                </c:pt>
                <c:pt idx="6">
                  <c:v>13.16939351147491</c:v>
                </c:pt>
                <c:pt idx="7">
                  <c:v>13.833959417894857</c:v>
                </c:pt>
                <c:pt idx="8">
                  <c:v>14.27129092684726</c:v>
                </c:pt>
                <c:pt idx="9">
                  <c:v>14.526585816868574</c:v>
                </c:pt>
                <c:pt idx="10">
                  <c:v>14.655038953939993</c:v>
                </c:pt>
                <c:pt idx="11">
                  <c:v>14.707888443331493</c:v>
                </c:pt>
                <c:pt idx="12">
                  <c:v>14.724020260213548</c:v>
                </c:pt>
                <c:pt idx="13">
                  <c:v>14.726110155807389</c:v>
                </c:pt>
                <c:pt idx="14">
                  <c:v>14.718328228608469</c:v>
                </c:pt>
                <c:pt idx="15">
                  <c:v>14.68220718605194</c:v>
                </c:pt>
                <c:pt idx="16">
                  <c:v>14.568115460665382</c:v>
                </c:pt>
                <c:pt idx="17">
                  <c:v>14.283309244826544</c:v>
                </c:pt>
                <c:pt idx="18">
                  <c:v>13.689302159468616</c:v>
                </c:pt>
                <c:pt idx="19">
                  <c:v>12.645233271849994</c:v>
                </c:pt>
                <c:pt idx="20">
                  <c:v>11.135843949380874</c:v>
                </c:pt>
                <c:pt idx="21">
                  <c:v>9.411423118909152</c:v>
                </c:pt>
                <c:pt idx="22">
                  <c:v>7.929050904670881</c:v>
                </c:pt>
                <c:pt idx="23">
                  <c:v>7.080731442909737</c:v>
                </c:pt>
                <c:pt idx="24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Расчеты!$A$95</c:f>
              <c:strCache>
                <c:ptCount val="1"/>
                <c:pt idx="0">
                  <c:v>(Y_t)C3=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Расчеты!$B$95:$IV$95</c:f>
              <c:numCache>
                <c:ptCount val="26"/>
                <c:pt idx="0">
                  <c:v>1.0813870840162776</c:v>
                </c:pt>
                <c:pt idx="1">
                  <c:v>3.250481154954956</c:v>
                </c:pt>
                <c:pt idx="2">
                  <c:v>4.520038410634044</c:v>
                </c:pt>
                <c:pt idx="3">
                  <c:v>4.946362273487205</c:v>
                </c:pt>
                <c:pt idx="4">
                  <c:v>4.707979165839634</c:v>
                </c:pt>
                <c:pt idx="5">
                  <c:v>4.026520372109326</c:v>
                </c:pt>
                <c:pt idx="6">
                  <c:v>3.1243057354893335</c:v>
                </c:pt>
                <c:pt idx="7">
                  <c:v>2.195143516845405</c:v>
                </c:pt>
                <c:pt idx="8">
                  <c:v>1.3814414667304415</c:v>
                </c:pt>
                <c:pt idx="9">
                  <c:v>0.7616164696332445</c:v>
                </c:pt>
                <c:pt idx="10">
                  <c:v>0.3529055813041223</c:v>
                </c:pt>
                <c:pt idx="11">
                  <c:v>0.12725866822721707</c:v>
                </c:pt>
                <c:pt idx="12">
                  <c:v>0.03017825796041371</c:v>
                </c:pt>
                <c:pt idx="13">
                  <c:v>-0.008431334478695502</c:v>
                </c:pt>
                <c:pt idx="14">
                  <c:v>-0.07760616071226471</c:v>
                </c:pt>
                <c:pt idx="15">
                  <c:v>-0.304176351974075</c:v>
                </c:pt>
                <c:pt idx="16">
                  <c:v>-0.8817395417464344</c:v>
                </c:pt>
                <c:pt idx="17">
                  <c:v>-2.0794863885873114</c:v>
                </c:pt>
                <c:pt idx="18">
                  <c:v>-4.131754223848648</c:v>
                </c:pt>
                <c:pt idx="19">
                  <c:v>-6.853942901329564</c:v>
                </c:pt>
                <c:pt idx="20">
                  <c:v>-9.154474196253092</c:v>
                </c:pt>
                <c:pt idx="21">
                  <c:v>-9.404833964258666</c:v>
                </c:pt>
                <c:pt idx="22">
                  <c:v>-6.9441905665059265</c:v>
                </c:pt>
                <c:pt idx="23">
                  <c:v>-2.727176590446643</c:v>
                </c:pt>
                <c:pt idx="24">
                  <c:v>1.7086117623620818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Расчеты!$A$97</c:f>
              <c:strCache>
                <c:ptCount val="1"/>
                <c:pt idx="0">
                  <c:v>(Y_tt)C3=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Расчеты!$B$97:$IV$97</c:f>
              <c:numCache>
                <c:ptCount val="26"/>
                <c:pt idx="0">
                  <c:v>9.861445624606398</c:v>
                </c:pt>
                <c:pt idx="1">
                  <c:v>6.6096132872294735</c:v>
                </c:pt>
                <c:pt idx="2">
                  <c:v>3.181084945370676</c:v>
                </c:pt>
                <c:pt idx="3">
                  <c:v>0.25014562850066513</c:v>
                </c:pt>
                <c:pt idx="4">
                  <c:v>-1.9106861875461914</c:v>
                </c:pt>
                <c:pt idx="5">
                  <c:v>-3.2257720298860506</c:v>
                </c:pt>
                <c:pt idx="6">
                  <c:v>-3.7356841366954927</c:v>
                </c:pt>
                <c:pt idx="7">
                  <c:v>-3.5766392737289823</c:v>
                </c:pt>
                <c:pt idx="8">
                  <c:v>-2.961811380610932</c:v>
                </c:pt>
                <c:pt idx="9">
                  <c:v>-2.136245697404256</c:v>
                </c:pt>
                <c:pt idx="10">
                  <c:v>-1.3170301069437367</c:v>
                </c:pt>
                <c:pt idx="11">
                  <c:v>-0.655309056148841</c:v>
                </c:pt>
                <c:pt idx="12">
                  <c:v>-0.24424265998741618</c:v>
                </c:pt>
                <c:pt idx="13">
                  <c:v>-0.16734818765315862</c:v>
                </c:pt>
                <c:pt idx="14">
                  <c:v>-0.5695540331384082</c:v>
                </c:pt>
                <c:pt idx="15">
                  <c:v>-1.7341496887023036</c:v>
                </c:pt>
                <c:pt idx="16">
                  <c:v>-4.109702079621362</c:v>
                </c:pt>
                <c:pt idx="17">
                  <c:v>-8.058271258275896</c:v>
                </c:pt>
                <c:pt idx="18">
                  <c:v>-12.80872758784601</c:v>
                </c:pt>
                <c:pt idx="19">
                  <c:v>-14.700676756025278</c:v>
                </c:pt>
                <c:pt idx="20">
                  <c:v>-8.256014806064364</c:v>
                </c:pt>
                <c:pt idx="21">
                  <c:v>6.409352361553297</c:v>
                </c:pt>
                <c:pt idx="22">
                  <c:v>20.617285939544004</c:v>
                </c:pt>
                <c:pt idx="23">
                  <c:v>26.85646253965114</c:v>
                </c:pt>
                <c:pt idx="24">
                  <c:v>24.87822698564862</c:v>
                </c:pt>
              </c:numCache>
            </c:numRef>
          </c:val>
          <c:smooth val="0"/>
        </c:ser>
        <c:marker val="1"/>
        <c:axId val="63024847"/>
        <c:axId val="19310420"/>
      </c:lineChart>
      <c:catAx>
        <c:axId val="63024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10420"/>
        <c:crosses val="autoZero"/>
        <c:auto val="1"/>
        <c:lblOffset val="100"/>
        <c:noMultiLvlLbl val="0"/>
      </c:catAx>
      <c:valAx>
        <c:axId val="19310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24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0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15"/>
          <c:w val="0.965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Расчеты!$A$114</c:f>
              <c:strCache>
                <c:ptCount val="1"/>
                <c:pt idx="0">
                  <c:v>xt(H5)=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Расчеты!$B$114:$IV$114</c:f>
              <c:numCache>
                <c:ptCount val="26"/>
                <c:pt idx="0">
                  <c:v>1.4505347746458157</c:v>
                </c:pt>
                <c:pt idx="1">
                  <c:v>1.3173148747504422</c:v>
                </c:pt>
                <c:pt idx="2">
                  <c:v>1.0437345960223883</c:v>
                </c:pt>
                <c:pt idx="3">
                  <c:v>0.7028564143340019</c:v>
                </c:pt>
                <c:pt idx="4">
                  <c:v>0.35978086047917557</c:v>
                </c:pt>
                <c:pt idx="5">
                  <c:v>0.06743336873762533</c:v>
                </c:pt>
                <c:pt idx="6">
                  <c:v>-0.1382571110431045</c:v>
                </c:pt>
                <c:pt idx="7">
                  <c:v>-0.24254742344418512</c:v>
                </c:pt>
                <c:pt idx="8">
                  <c:v>-0.2529307611772881</c:v>
                </c:pt>
                <c:pt idx="9">
                  <c:v>-0.1953118362622892</c:v>
                </c:pt>
                <c:pt idx="10">
                  <c:v>-0.10656320249055806</c:v>
                </c:pt>
                <c:pt idx="11">
                  <c:v>-0.027626753397068216</c:v>
                </c:pt>
                <c:pt idx="12">
                  <c:v>-0.0010441436570565177</c:v>
                </c:pt>
                <c:pt idx="13">
                  <c:v>-0.07306525066855296</c:v>
                </c:pt>
                <c:pt idx="14">
                  <c:v>-0.2948550262991323</c:v>
                </c:pt>
                <c:pt idx="15">
                  <c:v>-0.70923365345424</c:v>
                </c:pt>
                <c:pt idx="16">
                  <c:v>-1.3005744370933026</c:v>
                </c:pt>
                <c:pt idx="17">
                  <c:v>-1.9030623302201077</c:v>
                </c:pt>
                <c:pt idx="18">
                  <c:v>-2.164624729658214</c:v>
                </c:pt>
                <c:pt idx="19">
                  <c:v>-1.7588881122322448</c:v>
                </c:pt>
                <c:pt idx="20">
                  <c:v>-0.7376493609629851</c:v>
                </c:pt>
                <c:pt idx="21">
                  <c:v>0.4824519850786304</c:v>
                </c:pt>
                <c:pt idx="22">
                  <c:v>1.4920235676436704</c:v>
                </c:pt>
                <c:pt idx="23">
                  <c:v>2.1002673184187075</c:v>
                </c:pt>
                <c:pt idx="24">
                  <c:v>2.2918719987576357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Расчеты!$A$115</c:f>
              <c:strCache>
                <c:ptCount val="1"/>
                <c:pt idx="0">
                  <c:v>x(H)5-12=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Расчеты!$B$115:$IV$115</c:f>
              <c:numCache>
                <c:ptCount val="26"/>
                <c:pt idx="0">
                  <c:v>-0.11991855841926302</c:v>
                </c:pt>
                <c:pt idx="1">
                  <c:v>0.24636558263106778</c:v>
                </c:pt>
                <c:pt idx="2">
                  <c:v>0.5573443618094949</c:v>
                </c:pt>
                <c:pt idx="3">
                  <c:v>0.7855849422815773</c:v>
                </c:pt>
                <c:pt idx="4">
                  <c:v>0.9225722569770571</c:v>
                </c:pt>
                <c:pt idx="5">
                  <c:v>0.9758814745997118</c:v>
                </c:pt>
                <c:pt idx="6">
                  <c:v>0.9648801492103818</c:v>
                </c:pt>
                <c:pt idx="7">
                  <c:v>0.9151574647146532</c:v>
                </c:pt>
                <c:pt idx="8">
                  <c:v>0.8524213609357467</c:v>
                </c:pt>
                <c:pt idx="9">
                  <c:v>0.7971280676156525</c:v>
                </c:pt>
                <c:pt idx="10">
                  <c:v>0.7610361863345361</c:v>
                </c:pt>
                <c:pt idx="11">
                  <c:v>0.7459925895697452</c:v>
                </c:pt>
                <c:pt idx="12">
                  <c:v>0.7441311535610371</c:v>
                </c:pt>
                <c:pt idx="13">
                  <c:v>0.738211806703152</c:v>
                </c:pt>
                <c:pt idx="14">
                  <c:v>0.7015373170971078</c:v>
                </c:pt>
                <c:pt idx="15">
                  <c:v>0.5989325915227948</c:v>
                </c:pt>
                <c:pt idx="16">
                  <c:v>0.393820655388323</c:v>
                </c:pt>
                <c:pt idx="17">
                  <c:v>0.06918135787812396</c:v>
                </c:pt>
                <c:pt idx="18">
                  <c:v>-0.3387436668568782</c:v>
                </c:pt>
                <c:pt idx="19">
                  <c:v>-0.7256477787286268</c:v>
                </c:pt>
                <c:pt idx="20">
                  <c:v>-0.9654399420900663</c:v>
                </c:pt>
                <c:pt idx="21">
                  <c:v>-0.9884776156965263</c:v>
                </c:pt>
                <c:pt idx="22">
                  <c:v>-0.8092353586193646</c:v>
                </c:pt>
                <c:pt idx="23">
                  <c:v>-0.4939151426942541</c:v>
                </c:pt>
                <c:pt idx="24">
                  <c:v>-0.11991855841926302</c:v>
                </c:pt>
              </c:numCache>
            </c:numRef>
          </c:val>
          <c:smooth val="0"/>
        </c:ser>
        <c:marker val="1"/>
        <c:axId val="37084933"/>
        <c:axId val="47588402"/>
      </c:lineChart>
      <c:catAx>
        <c:axId val="37084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8402"/>
        <c:crosses val="autoZero"/>
        <c:auto val="1"/>
        <c:lblOffset val="100"/>
        <c:noMultiLvlLbl val="0"/>
      </c:catAx>
      <c:valAx>
        <c:axId val="47588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8493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775"/>
          <c:y val="0.21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Изменение момента (M)A2, необходимого для вращения шатуна</a:t>
            </a:r>
          </a:p>
        </c:rich>
      </c:tx>
      <c:layout>
        <c:manualLayout>
          <c:xMode val="factor"/>
          <c:yMode val="factor"/>
          <c:x val="0.0805"/>
          <c:y val="0.79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"/>
          <c:w val="0.968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Расчеты!$A$251</c:f>
              <c:strCache>
                <c:ptCount val="1"/>
                <c:pt idx="0">
                  <c:v>(M)A2=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Расчеты!$B$251:$IV$251</c:f>
              <c:numCache>
                <c:ptCount val="26"/>
                <c:pt idx="0">
                  <c:v>1166.4901957301163</c:v>
                </c:pt>
                <c:pt idx="1">
                  <c:v>986.7086955335085</c:v>
                </c:pt>
                <c:pt idx="2">
                  <c:v>820.7926026748727</c:v>
                </c:pt>
                <c:pt idx="3">
                  <c:v>685.1040292859788</c:v>
                </c:pt>
                <c:pt idx="4">
                  <c:v>570.8744226801505</c:v>
                </c:pt>
                <c:pt idx="5">
                  <c:v>429.676099722636</c:v>
                </c:pt>
                <c:pt idx="6">
                  <c:v>137.05840361547507</c:v>
                </c:pt>
                <c:pt idx="7">
                  <c:v>-686.9911146876555</c:v>
                </c:pt>
                <c:pt idx="8">
                  <c:v>-5431.644595510898</c:v>
                </c:pt>
                <c:pt idx="9">
                  <c:v>5800.5173704422195</c:v>
                </c:pt>
                <c:pt idx="10">
                  <c:v>2073.2709797902385</c:v>
                </c:pt>
                <c:pt idx="11">
                  <c:v>563.3645252414426</c:v>
                </c:pt>
                <c:pt idx="12">
                  <c:v>-130.3638445597955</c:v>
                </c:pt>
                <c:pt idx="13">
                  <c:v>735.8382041940293</c:v>
                </c:pt>
                <c:pt idx="14">
                  <c:v>465.8882366254374</c:v>
                </c:pt>
                <c:pt idx="15">
                  <c:v>-693.6679533728063</c:v>
                </c:pt>
                <c:pt idx="16">
                  <c:v>-1039.1902064300223</c:v>
                </c:pt>
                <c:pt idx="17">
                  <c:v>476.24662888083924</c:v>
                </c:pt>
                <c:pt idx="18">
                  <c:v>3411.756216890136</c:v>
                </c:pt>
                <c:pt idx="19">
                  <c:v>7468.809613149908</c:v>
                </c:pt>
                <c:pt idx="20">
                  <c:v>-5177.876479441576</c:v>
                </c:pt>
                <c:pt idx="21">
                  <c:v>1319.237998842391</c:v>
                </c:pt>
                <c:pt idx="22">
                  <c:v>2117.7071257472444</c:v>
                </c:pt>
                <c:pt idx="23">
                  <c:v>2224.436377248379</c:v>
                </c:pt>
                <c:pt idx="24">
                  <c:v>2145.972639763487</c:v>
                </c:pt>
              </c:numCache>
            </c:numRef>
          </c:val>
          <c:smooth val="0"/>
        </c:ser>
        <c:marker val="1"/>
        <c:axId val="17211371"/>
        <c:axId val="43260672"/>
      </c:lineChart>
      <c:catAx>
        <c:axId val="1721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0672"/>
        <c:crosses val="autoZero"/>
        <c:auto val="1"/>
        <c:lblOffset val="100"/>
        <c:noMultiLvlLbl val="0"/>
      </c:catAx>
      <c:valAx>
        <c:axId val="4326067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7211371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75"/>
          <c:y val="0.70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025"/>
          <c:w val="0.97625"/>
          <c:h val="0.971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Расчеты!$A$275</c:f>
              <c:strCache>
                <c:ptCount val="1"/>
                <c:pt idx="0">
                  <c:v>(Rx)A2=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Расчеты!$B$275:$IV$275</c:f>
              <c:numCache>
                <c:ptCount val="26"/>
                <c:pt idx="0">
                  <c:v>-1391.3013409735065</c:v>
                </c:pt>
                <c:pt idx="1">
                  <c:v>-313.63998721114893</c:v>
                </c:pt>
                <c:pt idx="2">
                  <c:v>-127.92360540907951</c:v>
                </c:pt>
                <c:pt idx="3">
                  <c:v>-59.22045219781862</c:v>
                </c:pt>
                <c:pt idx="4">
                  <c:v>-28.42244419446406</c:v>
                </c:pt>
                <c:pt idx="5">
                  <c:v>-12.225084259992665</c:v>
                </c:pt>
                <c:pt idx="6">
                  <c:v>-2.0934108726218343</c:v>
                </c:pt>
                <c:pt idx="7">
                  <c:v>4.729125063355402</c:v>
                </c:pt>
                <c:pt idx="8">
                  <c:v>8.571995177834845</c:v>
                </c:pt>
                <c:pt idx="9">
                  <c:v>9.156768840466391</c:v>
                </c:pt>
                <c:pt idx="10">
                  <c:v>6.665235586573412</c:v>
                </c:pt>
                <c:pt idx="11">
                  <c:v>2.27418151179071</c:v>
                </c:pt>
                <c:pt idx="12">
                  <c:v>-0.8535335769172937</c:v>
                </c:pt>
                <c:pt idx="13">
                  <c:v>-17.059108096849844</c:v>
                </c:pt>
                <c:pt idx="14">
                  <c:v>-4.371169295290281</c:v>
                </c:pt>
                <c:pt idx="15">
                  <c:v>7.567484737002173</c:v>
                </c:pt>
                <c:pt idx="16">
                  <c:v>14.245068889906197</c:v>
                </c:pt>
                <c:pt idx="17">
                  <c:v>-7.766347013005917</c:v>
                </c:pt>
                <c:pt idx="18">
                  <c:v>-57.50385043081717</c:v>
                </c:pt>
                <c:pt idx="19">
                  <c:v>-84.31769274925375</c:v>
                </c:pt>
                <c:pt idx="20">
                  <c:v>-47.26841917282892</c:v>
                </c:pt>
                <c:pt idx="21">
                  <c:v>82.37939550208625</c:v>
                </c:pt>
                <c:pt idx="22">
                  <c:v>413.3856525616048</c:v>
                </c:pt>
                <c:pt idx="23">
                  <c:v>1596.9862001530778</c:v>
                </c:pt>
                <c:pt idx="24">
                  <c:v>-2559.55396995569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Расчеты!$A$276</c:f>
              <c:strCache>
                <c:ptCount val="1"/>
                <c:pt idx="0">
                  <c:v>(Ry)A2=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Расчеты!$B$276:$IV$276</c:f>
              <c:numCache>
                <c:ptCount val="26"/>
                <c:pt idx="0">
                  <c:v>-51.507843363663234</c:v>
                </c:pt>
                <c:pt idx="1">
                  <c:v>-117.37821192785779</c:v>
                </c:pt>
                <c:pt idx="2">
                  <c:v>-94.54738027320695</c:v>
                </c:pt>
                <c:pt idx="3">
                  <c:v>-70.6987082165722</c:v>
                </c:pt>
                <c:pt idx="4">
                  <c:v>-52.05685409492601</c:v>
                </c:pt>
                <c:pt idx="5">
                  <c:v>-34.800262079909814</c:v>
                </c:pt>
                <c:pt idx="6">
                  <c:v>-9.965297203654707</c:v>
                </c:pt>
                <c:pt idx="7">
                  <c:v>45.35008688170594</c:v>
                </c:pt>
                <c:pt idx="8">
                  <c:v>329.06620827213965</c:v>
                </c:pt>
                <c:pt idx="9">
                  <c:v>-326.2087520240459</c:v>
                </c:pt>
                <c:pt idx="10">
                  <c:v>-109.77198565190982</c:v>
                </c:pt>
                <c:pt idx="11">
                  <c:v>-28.597157349184755</c:v>
                </c:pt>
                <c:pt idx="12">
                  <c:v>6.4462112137633</c:v>
                </c:pt>
                <c:pt idx="13">
                  <c:v>-41.28802281743874</c:v>
                </c:pt>
                <c:pt idx="14">
                  <c:v>-26.05228257862642</c:v>
                </c:pt>
                <c:pt idx="15">
                  <c:v>42.337558222473554</c:v>
                </c:pt>
                <c:pt idx="16">
                  <c:v>71.73358175312967</c:v>
                </c:pt>
                <c:pt idx="17">
                  <c:v>-38.09266154466314</c:v>
                </c:pt>
                <c:pt idx="18">
                  <c:v>-320.48442888483686</c:v>
                </c:pt>
                <c:pt idx="19">
                  <c:v>-827.8696879768594</c:v>
                </c:pt>
                <c:pt idx="20">
                  <c:v>678.6854834107922</c:v>
                </c:pt>
                <c:pt idx="21">
                  <c:v>-205.4362195670591</c:v>
                </c:pt>
                <c:pt idx="22">
                  <c:v>-395.3051760754022</c:v>
                </c:pt>
                <c:pt idx="23">
                  <c:v>-555.6032063192654</c:v>
                </c:pt>
                <c:pt idx="24">
                  <c:v>-94.75812398273904</c:v>
                </c:pt>
              </c:numCache>
            </c:numRef>
          </c:val>
          <c:smooth val="0"/>
        </c:ser>
        <c:marker val="1"/>
        <c:axId val="21655297"/>
        <c:axId val="45904702"/>
      </c:lineChart>
      <c:catAx>
        <c:axId val="2165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04702"/>
        <c:crosses val="autoZero"/>
        <c:auto val="1"/>
        <c:lblOffset val="100"/>
        <c:noMultiLvlLbl val="0"/>
      </c:catAx>
      <c:valAx>
        <c:axId val="4590470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655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5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25"/>
          <c:w val="0.9585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Расчеты!$A$261</c:f>
              <c:strCache>
                <c:ptCount val="1"/>
                <c:pt idx="0">
                  <c:v>(Rx)A1=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Расчеты!$B$261:$IV$261</c:f>
              <c:numCache>
                <c:ptCount val="26"/>
                <c:pt idx="0">
                  <c:v>-42.528662361970945</c:v>
                </c:pt>
                <c:pt idx="1">
                  <c:v>-32.96450554731957</c:v>
                </c:pt>
                <c:pt idx="2">
                  <c:v>-24.566528825287065</c:v>
                </c:pt>
                <c:pt idx="3">
                  <c:v>-18.000598922387</c:v>
                </c:pt>
                <c:pt idx="4">
                  <c:v>-12.879045968683817</c:v>
                </c:pt>
                <c:pt idx="5">
                  <c:v>-8.105971778072036</c:v>
                </c:pt>
                <c:pt idx="6">
                  <c:v>-2.0934108726218343</c:v>
                </c:pt>
                <c:pt idx="7">
                  <c:v>8.172282807963294</c:v>
                </c:pt>
                <c:pt idx="8">
                  <c:v>48.119454368473264</c:v>
                </c:pt>
                <c:pt idx="9">
                  <c:v>-36.45817357105457</c:v>
                </c:pt>
                <c:pt idx="10">
                  <c:v>-8.840211569881681</c:v>
                </c:pt>
                <c:pt idx="11">
                  <c:v>-1.6022256178084855</c:v>
                </c:pt>
                <c:pt idx="12">
                  <c:v>0.26732956270485336</c:v>
                </c:pt>
                <c:pt idx="13">
                  <c:v>-1.410858755027434</c:v>
                </c:pt>
                <c:pt idx="14">
                  <c:v>-1.176710951627703</c:v>
                </c:pt>
                <c:pt idx="15">
                  <c:v>2.8038182680114754</c:v>
                </c:pt>
                <c:pt idx="16">
                  <c:v>7.000720706311246</c:v>
                </c:pt>
                <c:pt idx="17">
                  <c:v>-5.211563225613077</c:v>
                </c:pt>
                <c:pt idx="18">
                  <c:v>-57.503850430817145</c:v>
                </c:pt>
                <c:pt idx="19">
                  <c:v>-179.8884142748</c:v>
                </c:pt>
                <c:pt idx="20">
                  <c:v>161.9723266929717</c:v>
                </c:pt>
                <c:pt idx="21">
                  <c:v>-48.2666980978621</c:v>
                </c:pt>
                <c:pt idx="22">
                  <c:v>-82.43983018572231</c:v>
                </c:pt>
                <c:pt idx="23">
                  <c:v>-85.81037027922319</c:v>
                </c:pt>
                <c:pt idx="24">
                  <c:v>-78.2392738221045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Расчеты!$A$262</c:f>
              <c:strCache>
                <c:ptCount val="1"/>
                <c:pt idx="0">
                  <c:v>(Ry)A1=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Расчеты!$B$262:$IV$262</c:f>
              <c:numCache>
                <c:ptCount val="26"/>
                <c:pt idx="0">
                  <c:v>-51.50784336366324</c:v>
                </c:pt>
                <c:pt idx="1">
                  <c:v>-42.17144328081834</c:v>
                </c:pt>
                <c:pt idx="2">
                  <c:v>-34.87414428490163</c:v>
                </c:pt>
                <c:pt idx="3">
                  <c:v>-29.478854941140597</c:v>
                </c:pt>
                <c:pt idx="4">
                  <c:v>-25.1348986455987</c:v>
                </c:pt>
                <c:pt idx="5">
                  <c:v>-19.427525015290886</c:v>
                </c:pt>
                <c:pt idx="6">
                  <c:v>-6.3542457703368935</c:v>
                </c:pt>
                <c:pt idx="7">
                  <c:v>32.50004724035502</c:v>
                </c:pt>
                <c:pt idx="8">
                  <c:v>260.56799964369714</c:v>
                </c:pt>
                <c:pt idx="9">
                  <c:v>-280.593809612525</c:v>
                </c:pt>
                <c:pt idx="10">
                  <c:v>-100.81991156222495</c:v>
                </c:pt>
                <c:pt idx="11">
                  <c:v>-27.558477189274402</c:v>
                </c:pt>
                <c:pt idx="12">
                  <c:v>6.446211213763299</c:v>
                </c:pt>
                <c:pt idx="13">
                  <c:v>-37.09508704333658</c:v>
                </c:pt>
                <c:pt idx="14">
                  <c:v>-24.207961193997782</c:v>
                </c:pt>
                <c:pt idx="15">
                  <c:v>37.573891753482854</c:v>
                </c:pt>
                <c:pt idx="16">
                  <c:v>59.18600263142392</c:v>
                </c:pt>
                <c:pt idx="17">
                  <c:v>-28.5580786477598</c:v>
                </c:pt>
                <c:pt idx="18">
                  <c:v>-212.9099749827676</c:v>
                </c:pt>
                <c:pt idx="19">
                  <c:v>-471.19489952750365</c:v>
                </c:pt>
                <c:pt idx="20">
                  <c:v>316.269880557618</c:v>
                </c:pt>
                <c:pt idx="21">
                  <c:v>-74.7901259671107</c:v>
                </c:pt>
                <c:pt idx="22">
                  <c:v>-109.04020014015636</c:v>
                </c:pt>
                <c:pt idx="23">
                  <c:v>-104.69922424606764</c:v>
                </c:pt>
                <c:pt idx="24">
                  <c:v>-94.75812398273965</c:v>
                </c:pt>
              </c:numCache>
            </c:numRef>
          </c:val>
          <c:smooth val="0"/>
        </c:ser>
        <c:marker val="1"/>
        <c:axId val="48723399"/>
        <c:axId val="19337324"/>
      </c:lineChart>
      <c:catAx>
        <c:axId val="487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37324"/>
        <c:crosses val="autoZero"/>
        <c:auto val="1"/>
        <c:lblOffset val="100"/>
        <c:noMultiLvlLbl val="0"/>
      </c:catAx>
      <c:valAx>
        <c:axId val="1933732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872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7965"/>
          <c:y val="0.1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055"/>
          <c:w val="0.965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Расчеты!$A$264</c:f>
              <c:strCache>
                <c:ptCount val="1"/>
                <c:pt idx="0">
                  <c:v>(Px)A1=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Расчеты!$B$264:$IV$264</c:f>
              <c:numCache>
                <c:ptCount val="26"/>
                <c:pt idx="0">
                  <c:v>-76.89421389819657</c:v>
                </c:pt>
                <c:pt idx="1">
                  <c:v>-69.01074950669648</c:v>
                </c:pt>
                <c:pt idx="2">
                  <c:v>-55.87687803596903</c:v>
                </c:pt>
                <c:pt idx="3">
                  <c:v>-43.83677365207618</c:v>
                </c:pt>
                <c:pt idx="4">
                  <c:v>-32.58160427561733</c:v>
                </c:pt>
                <c:pt idx="5">
                  <c:v>-21.125994800868202</c:v>
                </c:pt>
                <c:pt idx="6">
                  <c:v>-8.143556684291848</c:v>
                </c:pt>
                <c:pt idx="7">
                  <c:v>9.045289470149692</c:v>
                </c:pt>
                <c:pt idx="8">
                  <c:v>55.59856057389115</c:v>
                </c:pt>
                <c:pt idx="9">
                  <c:v>-22.783999006589628</c:v>
                </c:pt>
                <c:pt idx="10">
                  <c:v>10.722928157963324</c:v>
                </c:pt>
                <c:pt idx="11">
                  <c:v>23.783125844904003</c:v>
                </c:pt>
                <c:pt idx="12">
                  <c:v>31.682532471567498</c:v>
                </c:pt>
                <c:pt idx="13">
                  <c:v>37.1829807376612</c:v>
                </c:pt>
                <c:pt idx="14">
                  <c:v>44.85300114276959</c:v>
                </c:pt>
                <c:pt idx="15">
                  <c:v>57.47963725325369</c:v>
                </c:pt>
                <c:pt idx="16">
                  <c:v>69.96297116157744</c:v>
                </c:pt>
                <c:pt idx="17">
                  <c:v>61.78251645379967</c:v>
                </c:pt>
                <c:pt idx="18">
                  <c:v>3.0053412761439446</c:v>
                </c:pt>
                <c:pt idx="19">
                  <c:v>-143.0541766836518</c:v>
                </c:pt>
                <c:pt idx="20">
                  <c:v>156.84552873607532</c:v>
                </c:pt>
                <c:pt idx="21">
                  <c:v>-100.23963980425121</c:v>
                </c:pt>
                <c:pt idx="22">
                  <c:v>-167.54242799010967</c:v>
                </c:pt>
                <c:pt idx="23">
                  <c:v>-186.21999949330888</c:v>
                </c:pt>
                <c:pt idx="24">
                  <c:v>-233.1153172078116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Расчеты!$A$265</c:f>
              <c:strCache>
                <c:ptCount val="1"/>
                <c:pt idx="0">
                  <c:v>(Py)A1=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Расчеты!$B$265:$IV$265</c:f>
              <c:numCache>
                <c:ptCount val="26"/>
                <c:pt idx="0">
                  <c:v>37.022295299658026</c:v>
                </c:pt>
                <c:pt idx="1">
                  <c:v>27.513970817387857</c:v>
                </c:pt>
                <c:pt idx="2">
                  <c:v>19.932553244043987</c:v>
                </c:pt>
                <c:pt idx="3">
                  <c:v>14.106315654794365</c:v>
                </c:pt>
                <c:pt idx="4">
                  <c:v>8.807486382652389</c:v>
                </c:pt>
                <c:pt idx="5">
                  <c:v>2.5926557273247006</c:v>
                </c:pt>
                <c:pt idx="6">
                  <c:v>-5.818640773324033</c:v>
                </c:pt>
                <c:pt idx="7">
                  <c:v>-19.13575466330571</c:v>
                </c:pt>
                <c:pt idx="8">
                  <c:v>-70.59916066787628</c:v>
                </c:pt>
                <c:pt idx="9">
                  <c:v>49.17396023196898</c:v>
                </c:pt>
                <c:pt idx="10">
                  <c:v>19.405514612272484</c:v>
                </c:pt>
                <c:pt idx="11">
                  <c:v>19.23731523804914</c:v>
                </c:pt>
                <c:pt idx="12">
                  <c:v>27.117428286061724</c:v>
                </c:pt>
                <c:pt idx="13">
                  <c:v>39.38011849072771</c:v>
                </c:pt>
                <c:pt idx="14">
                  <c:v>54.58893848848127</c:v>
                </c:pt>
                <c:pt idx="15">
                  <c:v>71.8662035362836</c:v>
                </c:pt>
                <c:pt idx="16">
                  <c:v>91.30471702111198</c:v>
                </c:pt>
                <c:pt idx="17">
                  <c:v>127.64707445659943</c:v>
                </c:pt>
                <c:pt idx="18">
                  <c:v>218.7405854385063</c:v>
                </c:pt>
                <c:pt idx="19">
                  <c:v>449.43414724652706</c:v>
                </c:pt>
                <c:pt idx="20">
                  <c:v>-319.30689437754444</c:v>
                </c:pt>
                <c:pt idx="21">
                  <c:v>63.54632673090876</c:v>
                </c:pt>
                <c:pt idx="22">
                  <c:v>71.20387810330071</c:v>
                </c:pt>
                <c:pt idx="23">
                  <c:v>46.034698294775296</c:v>
                </c:pt>
                <c:pt idx="24">
                  <c:v>51.22390641837535</c:v>
                </c:pt>
              </c:numCache>
            </c:numRef>
          </c:val>
          <c:smooth val="0"/>
        </c:ser>
        <c:marker val="1"/>
        <c:axId val="38726077"/>
        <c:axId val="13480458"/>
      </c:lineChart>
      <c:catAx>
        <c:axId val="3872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80458"/>
        <c:crosses val="autoZero"/>
        <c:auto val="1"/>
        <c:lblOffset val="100"/>
        <c:noMultiLvlLbl val="0"/>
      </c:catAx>
      <c:valAx>
        <c:axId val="1348045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87260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19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0275"/>
          <c:w val="0.975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Расчеты!$A$278</c:f>
              <c:strCache>
                <c:ptCount val="1"/>
                <c:pt idx="0">
                  <c:v>(Px)A2=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Расчеты!$B$278:$IV$278</c:f>
              <c:numCache>
                <c:ptCount val="26"/>
                <c:pt idx="0">
                  <c:v>-1425.6668925097322</c:v>
                </c:pt>
                <c:pt idx="1">
                  <c:v>-349.68623117052584</c:v>
                </c:pt>
                <c:pt idx="2">
                  <c:v>-159.23395461976148</c:v>
                </c:pt>
                <c:pt idx="3">
                  <c:v>-85.0566269275078</c:v>
                </c:pt>
                <c:pt idx="4">
                  <c:v>-48.125002501397574</c:v>
                </c:pt>
                <c:pt idx="5">
                  <c:v>-25.24510728278883</c:v>
                </c:pt>
                <c:pt idx="6">
                  <c:v>-8.143556684291848</c:v>
                </c:pt>
                <c:pt idx="7">
                  <c:v>5.6021317255418</c:v>
                </c:pt>
                <c:pt idx="8">
                  <c:v>16.05110138325273</c:v>
                </c:pt>
                <c:pt idx="9">
                  <c:v>22.830943404931336</c:v>
                </c:pt>
                <c:pt idx="10">
                  <c:v>26.228375314418418</c:v>
                </c:pt>
                <c:pt idx="11">
                  <c:v>27.6595329745032</c:v>
                </c:pt>
                <c:pt idx="12">
                  <c:v>30.561669331945353</c:v>
                </c:pt>
                <c:pt idx="13">
                  <c:v>21.534731395838786</c:v>
                </c:pt>
                <c:pt idx="14">
                  <c:v>41.65854279910702</c:v>
                </c:pt>
                <c:pt idx="15">
                  <c:v>62.24330372224439</c:v>
                </c:pt>
                <c:pt idx="16">
                  <c:v>77.2073193451724</c:v>
                </c:pt>
                <c:pt idx="17">
                  <c:v>59.22773266640683</c:v>
                </c:pt>
                <c:pt idx="18">
                  <c:v>3.0053412761439233</c:v>
                </c:pt>
                <c:pt idx="19">
                  <c:v>-47.48345515810554</c:v>
                </c:pt>
                <c:pt idx="20">
                  <c:v>-52.39521712972532</c:v>
                </c:pt>
                <c:pt idx="21">
                  <c:v>30.40645379569714</c:v>
                </c:pt>
                <c:pt idx="22">
                  <c:v>328.2830547572174</c:v>
                </c:pt>
                <c:pt idx="23">
                  <c:v>1496.576570938992</c:v>
                </c:pt>
                <c:pt idx="24">
                  <c:v>-2714.4300133413967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Расчеты!$A$279</c:f>
              <c:strCache>
                <c:ptCount val="1"/>
                <c:pt idx="0">
                  <c:v>(Py)A2=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Расчеты!$B$279:$IV$279</c:f>
              <c:numCache>
                <c:ptCount val="26"/>
                <c:pt idx="0">
                  <c:v>37.02229529965803</c:v>
                </c:pt>
                <c:pt idx="1">
                  <c:v>-47.692797829651596</c:v>
                </c:pt>
                <c:pt idx="2">
                  <c:v>-39.740682744261335</c:v>
                </c:pt>
                <c:pt idx="3">
                  <c:v>-27.11353762063724</c:v>
                </c:pt>
                <c:pt idx="4">
                  <c:v>-18.11446906667492</c:v>
                </c:pt>
                <c:pt idx="5">
                  <c:v>-12.780081337294227</c:v>
                </c:pt>
                <c:pt idx="6">
                  <c:v>-9.429692206641846</c:v>
                </c:pt>
                <c:pt idx="7">
                  <c:v>-6.285715021954793</c:v>
                </c:pt>
                <c:pt idx="8">
                  <c:v>-2.100952039433764</c:v>
                </c:pt>
                <c:pt idx="9">
                  <c:v>3.559017820448048</c:v>
                </c:pt>
                <c:pt idx="10">
                  <c:v>10.453440522587613</c:v>
                </c:pt>
                <c:pt idx="11">
                  <c:v>18.198635078138786</c:v>
                </c:pt>
                <c:pt idx="12">
                  <c:v>27.117428286061724</c:v>
                </c:pt>
                <c:pt idx="13">
                  <c:v>35.18718271662555</c:v>
                </c:pt>
                <c:pt idx="14">
                  <c:v>52.74461710385263</c:v>
                </c:pt>
                <c:pt idx="15">
                  <c:v>76.62987000527431</c:v>
                </c:pt>
                <c:pt idx="16">
                  <c:v>103.85229614281774</c:v>
                </c:pt>
                <c:pt idx="17">
                  <c:v>118.11249155969608</c:v>
                </c:pt>
                <c:pt idx="18">
                  <c:v>111.16613153643704</c:v>
                </c:pt>
                <c:pt idx="19">
                  <c:v>92.75935879717133</c:v>
                </c:pt>
                <c:pt idx="20">
                  <c:v>43.10870847562978</c:v>
                </c:pt>
                <c:pt idx="21">
                  <c:v>-67.09976686903966</c:v>
                </c:pt>
                <c:pt idx="22">
                  <c:v>-215.06109783194512</c:v>
                </c:pt>
                <c:pt idx="23">
                  <c:v>-404.8692837784224</c:v>
                </c:pt>
                <c:pt idx="24">
                  <c:v>51.22390641837596</c:v>
                </c:pt>
              </c:numCache>
            </c:numRef>
          </c:val>
          <c:smooth val="0"/>
        </c:ser>
        <c:marker val="1"/>
        <c:axId val="17001571"/>
        <c:axId val="30462872"/>
      </c:lineChart>
      <c:catAx>
        <c:axId val="17001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62872"/>
        <c:crosses val="autoZero"/>
        <c:auto val="1"/>
        <c:lblOffset val="100"/>
        <c:noMultiLvlLbl val="0"/>
      </c:catAx>
      <c:valAx>
        <c:axId val="3046287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0157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57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Составляющие мощности</a:t>
            </a:r>
          </a:p>
        </c:rich>
      </c:tx>
      <c:layout>
        <c:manualLayout>
          <c:xMode val="factor"/>
          <c:yMode val="factor"/>
          <c:x val="-0.011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"/>
          <c:w val="0.98125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Расчеты!$A$187</c:f>
              <c:strCache>
                <c:ptCount val="1"/>
                <c:pt idx="0">
                  <c:v>WkinOb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Расчеты!$B$187:$IV$187</c:f>
              <c:numCache/>
            </c:numRef>
          </c:val>
          <c:smooth val="0"/>
        </c:ser>
        <c:ser>
          <c:idx val="1"/>
          <c:order val="1"/>
          <c:tx>
            <c:strRef>
              <c:f>Расчеты!$A$202</c:f>
              <c:strCache>
                <c:ptCount val="1"/>
                <c:pt idx="0">
                  <c:v>WpotOb=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Расчеты!$B$202:$IV$202</c:f>
              <c:numCache/>
            </c:numRef>
          </c:val>
          <c:smooth val="0"/>
        </c:ser>
        <c:marker val="1"/>
        <c:axId val="21764417"/>
        <c:axId val="52561022"/>
      </c:lineChart>
      <c:catAx>
        <c:axId val="2176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61022"/>
        <c:crosses val="autoZero"/>
        <c:auto val="1"/>
        <c:lblOffset val="100"/>
        <c:noMultiLvlLbl val="0"/>
      </c:catAx>
      <c:valAx>
        <c:axId val="5256102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7644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"/>
          <c:y val="0.6825"/>
          <c:w val="0.2215"/>
          <c:h val="0.178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08"/>
          <c:w val="0.97825"/>
          <c:h val="0.96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Расчеты!$A$289</c:f>
              <c:strCache>
                <c:ptCount val="1"/>
                <c:pt idx="0">
                  <c:v>(Nx)O1=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Расчеты!$B$289:$IV$289</c:f>
              <c:numCache>
                <c:ptCount val="26"/>
                <c:pt idx="0">
                  <c:v>-84.03421389819657</c:v>
                </c:pt>
                <c:pt idx="1">
                  <c:v>-75.92593958622075</c:v>
                </c:pt>
                <c:pt idx="2">
                  <c:v>-62.16411811814351</c:v>
                </c:pt>
                <c:pt idx="3">
                  <c:v>-49.116595234539325</c:v>
                </c:pt>
                <c:pt idx="4">
                  <c:v>-36.5118281252749</c:v>
                </c:pt>
                <c:pt idx="5">
                  <c:v>-23.416436990336326</c:v>
                </c:pt>
                <c:pt idx="6">
                  <c:v>-8.571956684291848</c:v>
                </c:pt>
                <c:pt idx="7">
                  <c:v>10.61652586266122</c:v>
                </c:pt>
                <c:pt idx="8">
                  <c:v>59.205808005095754</c:v>
                </c:pt>
                <c:pt idx="9">
                  <c:v>-17.220381398991066</c:v>
                </c:pt>
                <c:pt idx="10">
                  <c:v>18.036223016506437</c:v>
                </c:pt>
                <c:pt idx="11">
                  <c:v>32.50729854757479</c:v>
                </c:pt>
                <c:pt idx="12">
                  <c:v>41.349769790699796</c:v>
                </c:pt>
                <c:pt idx="13">
                  <c:v>47.20949031685902</c:v>
                </c:pt>
                <c:pt idx="14">
                  <c:v>54.563104139701395</c:v>
                </c:pt>
                <c:pt idx="15">
                  <c:v>66.14108861853877</c:v>
                </c:pt>
                <c:pt idx="16">
                  <c:v>76.83254159687829</c:v>
                </c:pt>
                <c:pt idx="17">
                  <c:v>66.15965193881756</c:v>
                </c:pt>
                <c:pt idx="18">
                  <c:v>4.290541276143947</c:v>
                </c:pt>
                <c:pt idx="19">
                  <c:v>-145.3006200948965</c:v>
                </c:pt>
                <c:pt idx="20">
                  <c:v>150.84157164923968</c:v>
                </c:pt>
                <c:pt idx="21">
                  <c:v>-109.96913699689323</c:v>
                </c:pt>
                <c:pt idx="22">
                  <c:v>-180.67883400306172</c:v>
                </c:pt>
                <c:pt idx="23">
                  <c:v>-202.14885198136722</c:v>
                </c:pt>
                <c:pt idx="24">
                  <c:v>-250.94003403551062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Расчеты!$A$290</c:f>
              <c:strCache>
                <c:ptCount val="1"/>
                <c:pt idx="0">
                  <c:v>(Nx)O1=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Расчеты!$B$290:$IV$290</c:f>
              <c:numCache>
                <c:ptCount val="26"/>
                <c:pt idx="0">
                  <c:v>46.83229529965803</c:v>
                </c:pt>
                <c:pt idx="1">
                  <c:v>35.544969939352896</c:v>
                </c:pt>
                <c:pt idx="2">
                  <c:v>26.277504727021302</c:v>
                </c:pt>
                <c:pt idx="3">
                  <c:v>18.93941861739154</c:v>
                </c:pt>
                <c:pt idx="4">
                  <c:v>12.381338989926537</c:v>
                </c:pt>
                <c:pt idx="5">
                  <c:v>5.233951184371152</c:v>
                </c:pt>
                <c:pt idx="6">
                  <c:v>-3.7159105949052726</c:v>
                </c:pt>
                <c:pt idx="7">
                  <c:v>-17.120767622777073</c:v>
                </c:pt>
                <c:pt idx="8">
                  <c:v>-68.17949649419496</c:v>
                </c:pt>
                <c:pt idx="9">
                  <c:v>52.51156898918946</c:v>
                </c:pt>
                <c:pt idx="10">
                  <c:v>24.168725672626728</c:v>
                </c:pt>
                <c:pt idx="11">
                  <c:v>25.896574295644776</c:v>
                </c:pt>
                <c:pt idx="12">
                  <c:v>36.070628286061726</c:v>
                </c:pt>
                <c:pt idx="13">
                  <c:v>50.91577028472005</c:v>
                </c:pt>
                <c:pt idx="14">
                  <c:v>68.85083040945493</c:v>
                </c:pt>
                <c:pt idx="15">
                  <c:v>88.8230321762671</c:v>
                </c:pt>
                <c:pt idx="16">
                  <c:v>110.72836204122608</c:v>
                </c:pt>
                <c:pt idx="17">
                  <c:v>149.10300340650014</c:v>
                </c:pt>
                <c:pt idx="18">
                  <c:v>241.59328367818352</c:v>
                </c:pt>
                <c:pt idx="19">
                  <c:v>472.86948809739556</c:v>
                </c:pt>
                <c:pt idx="20">
                  <c:v>-296.2417356566819</c:v>
                </c:pt>
                <c:pt idx="21">
                  <c:v>85.206295738973</c:v>
                </c:pt>
                <c:pt idx="22">
                  <c:v>90.41198925674894</c:v>
                </c:pt>
                <c:pt idx="23">
                  <c:v>61.812951998774444</c:v>
                </c:pt>
                <c:pt idx="24">
                  <c:v>62.74750641837536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Расчеты!$A$291</c:f>
              <c:strCache>
                <c:ptCount val="1"/>
                <c:pt idx="0">
                  <c:v>Mo1=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Расчеты!$B$291:$IV$291</c:f>
              <c:numCache>
                <c:ptCount val="26"/>
                <c:pt idx="0">
                  <c:v>334.38258843955833</c:v>
                </c:pt>
                <c:pt idx="1">
                  <c:v>385.4620691989311</c:v>
                </c:pt>
                <c:pt idx="2">
                  <c:v>384.4307863032684</c:v>
                </c:pt>
                <c:pt idx="3">
                  <c:v>343.627283911913</c:v>
                </c:pt>
                <c:pt idx="4">
                  <c:v>270.00939895704613</c:v>
                </c:pt>
                <c:pt idx="5">
                  <c:v>171.21855872350113</c:v>
                </c:pt>
                <c:pt idx="6">
                  <c:v>61.2637707258438</c:v>
                </c:pt>
                <c:pt idx="7">
                  <c:v>-41.510473931039435</c:v>
                </c:pt>
                <c:pt idx="8">
                  <c:v>-122.61365673346269</c:v>
                </c:pt>
                <c:pt idx="9">
                  <c:v>-178.08611575665248</c:v>
                </c:pt>
                <c:pt idx="10">
                  <c:v>-213.73473129341406</c:v>
                </c:pt>
                <c:pt idx="11">
                  <c:v>-238.56362015975282</c:v>
                </c:pt>
                <c:pt idx="12">
                  <c:v>-257.4242859624807</c:v>
                </c:pt>
                <c:pt idx="13">
                  <c:v>-263.7796958779609</c:v>
                </c:pt>
                <c:pt idx="14">
                  <c:v>-230.80341521383474</c:v>
                </c:pt>
                <c:pt idx="15">
                  <c:v>-114.3652905551442</c:v>
                </c:pt>
                <c:pt idx="16">
                  <c:v>79.9477281348017</c:v>
                </c:pt>
                <c:pt idx="17">
                  <c:v>180.91638324721643</c:v>
                </c:pt>
                <c:pt idx="18">
                  <c:v>30.814464711667462</c:v>
                </c:pt>
                <c:pt idx="19">
                  <c:v>-128.0586240080585</c:v>
                </c:pt>
                <c:pt idx="20">
                  <c:v>-124.66599670996808</c:v>
                </c:pt>
                <c:pt idx="21">
                  <c:v>-124.81120704093914</c:v>
                </c:pt>
                <c:pt idx="22">
                  <c:v>-85.74800973929459</c:v>
                </c:pt>
                <c:pt idx="23">
                  <c:v>52.9714228202565</c:v>
                </c:pt>
                <c:pt idx="24">
                  <c:v>448.2571958271996</c:v>
                </c:pt>
              </c:numCache>
            </c:numRef>
          </c:val>
          <c:smooth val="0"/>
        </c:ser>
        <c:marker val="1"/>
        <c:axId val="46295865"/>
        <c:axId val="5475478"/>
      </c:lineChart>
      <c:catAx>
        <c:axId val="462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5478"/>
        <c:crosses val="autoZero"/>
        <c:auto val="1"/>
        <c:lblOffset val="100"/>
        <c:noMultiLvlLbl val="0"/>
      </c:catAx>
      <c:valAx>
        <c:axId val="547547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62958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25"/>
          <c:y val="0.1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1725"/>
          <c:w val="0.9735"/>
          <c:h val="0.95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Расчеты!$A$101</c:f>
              <c:strCache>
                <c:ptCount val="1"/>
                <c:pt idx="0">
                  <c:v>Y(H)=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Расчеты!$B$100:$IV$100</c:f>
              <c:numCache>
                <c:ptCount val="26"/>
                <c:pt idx="0">
                  <c:v>11.880081441580739</c:v>
                </c:pt>
                <c:pt idx="1">
                  <c:v>12.246365582631066</c:v>
                </c:pt>
                <c:pt idx="2">
                  <c:v>12.557344361809498</c:v>
                </c:pt>
                <c:pt idx="3">
                  <c:v>12.785584942281574</c:v>
                </c:pt>
                <c:pt idx="4">
                  <c:v>12.922572256977059</c:v>
                </c:pt>
                <c:pt idx="5">
                  <c:v>12.975881474599712</c:v>
                </c:pt>
                <c:pt idx="6">
                  <c:v>12.964880149210382</c:v>
                </c:pt>
                <c:pt idx="7">
                  <c:v>12.915157464714655</c:v>
                </c:pt>
                <c:pt idx="8">
                  <c:v>12.852421360935745</c:v>
                </c:pt>
                <c:pt idx="9">
                  <c:v>12.797128067615652</c:v>
                </c:pt>
                <c:pt idx="10">
                  <c:v>12.761036186334536</c:v>
                </c:pt>
                <c:pt idx="11">
                  <c:v>12.745992589569743</c:v>
                </c:pt>
                <c:pt idx="12">
                  <c:v>12.744131153561035</c:v>
                </c:pt>
                <c:pt idx="13">
                  <c:v>12.738211806703154</c:v>
                </c:pt>
                <c:pt idx="14">
                  <c:v>12.70153731709711</c:v>
                </c:pt>
                <c:pt idx="15">
                  <c:v>12.598932591522793</c:v>
                </c:pt>
                <c:pt idx="16">
                  <c:v>12.393820655388323</c:v>
                </c:pt>
                <c:pt idx="17">
                  <c:v>12.069181357878124</c:v>
                </c:pt>
                <c:pt idx="18">
                  <c:v>11.661256333143124</c:v>
                </c:pt>
                <c:pt idx="19">
                  <c:v>11.274352221271371</c:v>
                </c:pt>
                <c:pt idx="20">
                  <c:v>11.034560057909934</c:v>
                </c:pt>
                <c:pt idx="21">
                  <c:v>11.011522384303476</c:v>
                </c:pt>
                <c:pt idx="22">
                  <c:v>11.190764641380635</c:v>
                </c:pt>
                <c:pt idx="23">
                  <c:v>11.506084857305746</c:v>
                </c:pt>
                <c:pt idx="24">
                  <c:v>11.880081441580739</c:v>
                </c:pt>
              </c:numCache>
            </c:numRef>
          </c:xVal>
          <c:yVal>
            <c:numRef>
              <c:f>Расчеты!$B$101:$IV$101</c:f>
              <c:numCache>
                <c:ptCount val="26"/>
                <c:pt idx="0">
                  <c:v>-0.6629324619645658</c:v>
                </c:pt>
                <c:pt idx="1">
                  <c:v>0.7040585624419791</c:v>
                </c:pt>
                <c:pt idx="2">
                  <c:v>1.864647166411629</c:v>
                </c:pt>
                <c:pt idx="3">
                  <c:v>2.716452609082431</c:v>
                </c:pt>
                <c:pt idx="4">
                  <c:v>3.2276962275184076</c:v>
                </c:pt>
                <c:pt idx="5">
                  <c:v>3.4266489361978927</c:v>
                </c:pt>
                <c:pt idx="6">
                  <c:v>3.3855914308943156</c:v>
                </c:pt>
                <c:pt idx="7">
                  <c:v>3.2000238460675448</c:v>
                </c:pt>
                <c:pt idx="8">
                  <c:v>2.965889519295743</c:v>
                </c:pt>
                <c:pt idx="9">
                  <c:v>2.759532139307346</c:v>
                </c:pt>
                <c:pt idx="10">
                  <c:v>2.624835404625479</c:v>
                </c:pt>
                <c:pt idx="11">
                  <c:v>2.5686919371706907</c:v>
                </c:pt>
                <c:pt idx="12">
                  <c:v>2.561744963411151</c:v>
                </c:pt>
                <c:pt idx="13">
                  <c:v>2.53965366018992</c:v>
                </c:pt>
                <c:pt idx="14">
                  <c:v>2.4027826016385063</c:v>
                </c:pt>
                <c:pt idx="15">
                  <c:v>2.019856552698492</c:v>
                </c:pt>
                <c:pt idx="16">
                  <c:v>1.2543683858058259</c:v>
                </c:pt>
                <c:pt idx="17">
                  <c:v>0.042798033364299215</c:v>
                </c:pt>
                <c:pt idx="18">
                  <c:v>-1.479598884625517</c:v>
                </c:pt>
                <c:pt idx="19">
                  <c:v>-2.9235446877882083</c:v>
                </c:pt>
                <c:pt idx="20">
                  <c:v>-3.8184612247099494</c:v>
                </c:pt>
                <c:pt idx="21">
                  <c:v>-3.9044389930974432</c:v>
                </c:pt>
                <c:pt idx="22">
                  <c:v>-3.235497782822158</c:v>
                </c:pt>
                <c:pt idx="23">
                  <c:v>-2.0587067163360544</c:v>
                </c:pt>
                <c:pt idx="24">
                  <c:v>-0.6629324619645658</c:v>
                </c:pt>
              </c:numCache>
            </c:numRef>
          </c:yVal>
          <c:smooth val="1"/>
        </c:ser>
        <c:axId val="65568703"/>
        <c:axId val="40267908"/>
      </c:scatterChart>
      <c:valAx>
        <c:axId val="6556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67908"/>
        <c:crosses val="autoZero"/>
        <c:crossBetween val="midCat"/>
        <c:dispUnits/>
      </c:valAx>
      <c:valAx>
        <c:axId val="40267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68703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6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Компоненты скорости точки Н на звене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95"/>
          <c:w val="0.976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Расчеты!$A$114</c:f>
              <c:strCache>
                <c:ptCount val="1"/>
                <c:pt idx="0">
                  <c:v>xt(H5)=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Расчеты!$B$114:$IV$114</c:f>
              <c:numCache>
                <c:ptCount val="26"/>
                <c:pt idx="0">
                  <c:v>1.4505347746458157</c:v>
                </c:pt>
                <c:pt idx="1">
                  <c:v>1.3173148747504422</c:v>
                </c:pt>
                <c:pt idx="2">
                  <c:v>1.0437345960223883</c:v>
                </c:pt>
                <c:pt idx="3">
                  <c:v>0.7028564143340019</c:v>
                </c:pt>
                <c:pt idx="4">
                  <c:v>0.35978086047917557</c:v>
                </c:pt>
                <c:pt idx="5">
                  <c:v>0.06743336873762533</c:v>
                </c:pt>
                <c:pt idx="6">
                  <c:v>-0.1382571110431045</c:v>
                </c:pt>
                <c:pt idx="7">
                  <c:v>-0.24254742344418512</c:v>
                </c:pt>
                <c:pt idx="8">
                  <c:v>-0.2529307611772881</c:v>
                </c:pt>
                <c:pt idx="9">
                  <c:v>-0.1953118362622892</c:v>
                </c:pt>
                <c:pt idx="10">
                  <c:v>-0.10656320249055806</c:v>
                </c:pt>
                <c:pt idx="11">
                  <c:v>-0.027626753397068216</c:v>
                </c:pt>
                <c:pt idx="12">
                  <c:v>-0.0010441436570565177</c:v>
                </c:pt>
                <c:pt idx="13">
                  <c:v>-0.07306525066855296</c:v>
                </c:pt>
                <c:pt idx="14">
                  <c:v>-0.2948550262991323</c:v>
                </c:pt>
                <c:pt idx="15">
                  <c:v>-0.70923365345424</c:v>
                </c:pt>
                <c:pt idx="16">
                  <c:v>-1.3005744370933026</c:v>
                </c:pt>
                <c:pt idx="17">
                  <c:v>-1.9030623302201077</c:v>
                </c:pt>
                <c:pt idx="18">
                  <c:v>-2.164624729658214</c:v>
                </c:pt>
                <c:pt idx="19">
                  <c:v>-1.7588881122322448</c:v>
                </c:pt>
                <c:pt idx="20">
                  <c:v>-0.7376493609629851</c:v>
                </c:pt>
                <c:pt idx="21">
                  <c:v>0.4824519850786304</c:v>
                </c:pt>
                <c:pt idx="22">
                  <c:v>1.4920235676436704</c:v>
                </c:pt>
                <c:pt idx="23">
                  <c:v>2.1002673184187075</c:v>
                </c:pt>
                <c:pt idx="24">
                  <c:v>2.2918719987576357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Расчеты!$A$117</c:f>
              <c:strCache>
                <c:ptCount val="1"/>
                <c:pt idx="0">
                  <c:v>yt(H5)=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Расчеты!$B$117:$IV$117</c:f>
              <c:numCache>
                <c:ptCount val="26"/>
                <c:pt idx="0">
                  <c:v>5.413469477123656</c:v>
                </c:pt>
                <c:pt idx="1">
                  <c:v>4.916286042134883</c:v>
                </c:pt>
                <c:pt idx="2">
                  <c:v>3.8952705419729305</c:v>
                </c:pt>
                <c:pt idx="3">
                  <c:v>2.6230958487201774</c:v>
                </c:pt>
                <c:pt idx="4">
                  <c:v>1.3427204508991328</c:v>
                </c:pt>
                <c:pt idx="5">
                  <c:v>0.25166475825434453</c:v>
                </c:pt>
                <c:pt idx="6">
                  <c:v>-0.5159825629205582</c:v>
                </c:pt>
                <c:pt idx="7">
                  <c:v>-0.9051993075386215</c:v>
                </c:pt>
                <c:pt idx="8">
                  <c:v>-0.9439504515107089</c:v>
                </c:pt>
                <c:pt idx="9">
                  <c:v>-0.7289136962504368</c:v>
                </c:pt>
                <c:pt idx="10">
                  <c:v>-0.39769928591201303</c:v>
                </c:pt>
                <c:pt idx="11">
                  <c:v>-0.10310444732603467</c:v>
                </c:pt>
                <c:pt idx="12">
                  <c:v>-0.003896797178535698</c:v>
                </c:pt>
                <c:pt idx="13">
                  <c:v>-0.2726832277627956</c:v>
                </c:pt>
                <c:pt idx="14">
                  <c:v>-1.1004139390154193</c:v>
                </c:pt>
                <c:pt idx="15">
                  <c:v>-2.6468960291289223</c:v>
                </c:pt>
                <c:pt idx="16">
                  <c:v>-4.853809878257498</c:v>
                </c:pt>
                <c:pt idx="17">
                  <c:v>-7.102325306351863</c:v>
                </c:pt>
                <c:pt idx="18">
                  <c:v>-8.078489470404502</c:v>
                </c:pt>
                <c:pt idx="19">
                  <c:v>-6.564259799679648</c:v>
                </c:pt>
                <c:pt idx="20">
                  <c:v>-2.752944893284575</c:v>
                </c:pt>
                <c:pt idx="21">
                  <c:v>1.8005353205259107</c:v>
                </c:pt>
                <c:pt idx="22">
                  <c:v>5.568307760536358</c:v>
                </c:pt>
                <c:pt idx="23">
                  <c:v>7.838304341815059</c:v>
                </c:pt>
                <c:pt idx="24">
                  <c:v>8.553382743807932</c:v>
                </c:pt>
              </c:numCache>
            </c:numRef>
          </c:val>
          <c:smooth val="0"/>
        </c:ser>
        <c:marker val="1"/>
        <c:axId val="40423285"/>
        <c:axId val="49901282"/>
      </c:lineChart>
      <c:catAx>
        <c:axId val="4042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01282"/>
        <c:crosses val="autoZero"/>
        <c:auto val="1"/>
        <c:lblOffset val="100"/>
        <c:noMultiLvlLbl val="0"/>
      </c:catAx>
      <c:valAx>
        <c:axId val="49901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2328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25"/>
          <c:y val="0.24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Компоненты ускорения точка Н на звене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"/>
          <c:w val="0.968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Расчеты!$A$118</c:f>
              <c:strCache>
                <c:ptCount val="1"/>
                <c:pt idx="0">
                  <c:v>xtt(H5)=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Расчеты!$B$118:$IV$118</c:f>
              <c:numCache>
                <c:ptCount val="26"/>
                <c:pt idx="0">
                  <c:v>-0.508862534077348</c:v>
                </c:pt>
                <c:pt idx="1">
                  <c:v>-1.044999688608679</c:v>
                </c:pt>
                <c:pt idx="2">
                  <c:v>-1.3054675244060974</c:v>
                </c:pt>
                <c:pt idx="3">
                  <c:v>-1.3207443526152935</c:v>
                </c:pt>
                <c:pt idx="4">
                  <c:v>-1.1342031104092016</c:v>
                </c:pt>
                <c:pt idx="5">
                  <c:v>-0.8061685777615635</c:v>
                </c:pt>
                <c:pt idx="6">
                  <c:v>-0.41388197947615835</c:v>
                </c:pt>
                <c:pt idx="7">
                  <c:v>-0.041814027368742734</c:v>
                </c:pt>
                <c:pt idx="8">
                  <c:v>0.23591527938240756</c:v>
                </c:pt>
                <c:pt idx="9">
                  <c:v>0.37010733634035414</c:v>
                </c:pt>
                <c:pt idx="10">
                  <c:v>0.33581536823051994</c:v>
                </c:pt>
                <c:pt idx="11">
                  <c:v>0.11552385883613119</c:v>
                </c:pt>
                <c:pt idx="12">
                  <c:v>-0.32010558389693466</c:v>
                </c:pt>
                <c:pt idx="13">
                  <c:v>-1.0091612820525435</c:v>
                </c:pt>
                <c:pt idx="14">
                  <c:v>-1.9317514980481354</c:v>
                </c:pt>
                <c:pt idx="15">
                  <c:v>-2.8262131379792503</c:v>
                </c:pt>
                <c:pt idx="16">
                  <c:v>-2.9535374932539855</c:v>
                </c:pt>
                <c:pt idx="17">
                  <c:v>-1.3156876469447316</c:v>
                </c:pt>
                <c:pt idx="18">
                  <c:v>2.0946438689602465</c:v>
                </c:pt>
                <c:pt idx="19">
                  <c:v>5.411806791416274</c:v>
                </c:pt>
                <c:pt idx="20">
                  <c:v>6.637150873947338</c:v>
                </c:pt>
                <c:pt idx="21">
                  <c:v>5.637443923086763</c:v>
                </c:pt>
                <c:pt idx="22">
                  <c:v>3.4861205120600998</c:v>
                </c:pt>
                <c:pt idx="23">
                  <c:v>1.1270079074580965</c:v>
                </c:pt>
                <c:pt idx="24">
                  <c:v>1.1270079074580965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Расчеты!$A$119</c:f>
              <c:strCache>
                <c:ptCount val="1"/>
                <c:pt idx="0">
                  <c:v>ytt(H5)=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Расчеты!$B$119:$IV$119</c:f>
              <c:numCache>
                <c:ptCount val="26"/>
                <c:pt idx="0">
                  <c:v>-1.8991008312449122</c:v>
                </c:pt>
                <c:pt idx="1">
                  <c:v>-3.899991931781246</c:v>
                </c:pt>
                <c:pt idx="2">
                  <c:v>-4.872071128714719</c:v>
                </c:pt>
                <c:pt idx="3">
                  <c:v>-4.929085027769941</c:v>
                </c:pt>
                <c:pt idx="4">
                  <c:v>-4.232903634149793</c:v>
                </c:pt>
                <c:pt idx="5">
                  <c:v>-3.0086620916716966</c:v>
                </c:pt>
                <c:pt idx="6">
                  <c:v>-1.5446285757422025</c:v>
                </c:pt>
                <c:pt idx="7">
                  <c:v>-0.15605207460922346</c:v>
                </c:pt>
                <c:pt idx="8">
                  <c:v>0.8804478089369515</c:v>
                </c:pt>
                <c:pt idx="9">
                  <c:v>1.3812593834761848</c:v>
                </c:pt>
                <c:pt idx="10">
                  <c:v>1.2532800161987518</c:v>
                </c:pt>
                <c:pt idx="11">
                  <c:v>0.4311409106628564</c:v>
                </c:pt>
                <c:pt idx="12">
                  <c:v>-1.194650302889862</c:v>
                </c:pt>
                <c:pt idx="13">
                  <c:v>-3.766241177651439</c:v>
                </c:pt>
                <c:pt idx="14">
                  <c:v>-7.209394738312933</c:v>
                </c:pt>
                <c:pt idx="15">
                  <c:v>-10.547571023957232</c:v>
                </c:pt>
                <c:pt idx="16">
                  <c:v>-11.022751986883495</c:v>
                </c:pt>
                <c:pt idx="17">
                  <c:v>-4.910213145288482</c:v>
                </c:pt>
                <c:pt idx="18">
                  <c:v>7.817317342722286</c:v>
                </c:pt>
                <c:pt idx="19">
                  <c:v>20.19713790631184</c:v>
                </c:pt>
                <c:pt idx="20">
                  <c:v>24.770184279071643</c:v>
                </c:pt>
                <c:pt idx="21">
                  <c:v>21.039227145780213</c:v>
                </c:pt>
                <c:pt idx="22">
                  <c:v>13.010378872316325</c:v>
                </c:pt>
                <c:pt idx="23">
                  <c:v>4.2060507711655</c:v>
                </c:pt>
                <c:pt idx="24">
                  <c:v>4.2060507711655</c:v>
                </c:pt>
              </c:numCache>
            </c:numRef>
          </c:val>
          <c:smooth val="0"/>
        </c:ser>
        <c:marker val="1"/>
        <c:axId val="24079323"/>
        <c:axId val="59552560"/>
      </c:lineChart>
      <c:catAx>
        <c:axId val="24079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52560"/>
        <c:crosses val="autoZero"/>
        <c:auto val="1"/>
        <c:lblOffset val="100"/>
        <c:noMultiLvlLbl val="0"/>
      </c:catAx>
      <c:valAx>
        <c:axId val="59552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79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Компоненты скорости частиц на звене 2 с координатами точки 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0175"/>
          <c:w val="0.968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Расчеты!$A$242</c:f>
              <c:strCache>
                <c:ptCount val="1"/>
                <c:pt idx="0">
                  <c:v>(xt)H2=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Расчеты!$B$242:$IV$242</c:f>
              <c:numCache>
                <c:ptCount val="26"/>
                <c:pt idx="0">
                  <c:v>-0.2090064895281255</c:v>
                </c:pt>
                <c:pt idx="1">
                  <c:v>-2.1145264159279424</c:v>
                </c:pt>
                <c:pt idx="2">
                  <c:v>-3.845859812023449</c:v>
                </c:pt>
                <c:pt idx="3">
                  <c:v>-5.287225522136752</c:v>
                </c:pt>
                <c:pt idx="4">
                  <c:v>-6.333510840909334</c:v>
                </c:pt>
                <c:pt idx="5">
                  <c:v>-6.910803993718911</c:v>
                </c:pt>
                <c:pt idx="6">
                  <c:v>-6.992822110867524</c:v>
                </c:pt>
                <c:pt idx="7">
                  <c:v>-6.6105655063314375</c:v>
                </c:pt>
                <c:pt idx="8">
                  <c:v>-5.848496226325348</c:v>
                </c:pt>
                <c:pt idx="9">
                  <c:v>-4.82239856348358</c:v>
                </c:pt>
                <c:pt idx="10">
                  <c:v>-3.643566636508876</c:v>
                </c:pt>
                <c:pt idx="11">
                  <c:v>-2.3834579296276206</c:v>
                </c:pt>
                <c:pt idx="12">
                  <c:v>-1.0524065891011831</c:v>
                </c:pt>
                <c:pt idx="13">
                  <c:v>0.4026745466513777</c:v>
                </c:pt>
                <c:pt idx="14">
                  <c:v>2.08066553369444</c:v>
                </c:pt>
                <c:pt idx="15">
                  <c:v>4.078879107013611</c:v>
                </c:pt>
                <c:pt idx="16">
                  <c:v>6.392569737784135</c:v>
                </c:pt>
                <c:pt idx="17">
                  <c:v>8.759160224453739</c:v>
                </c:pt>
                <c:pt idx="18">
                  <c:v>10.570781916955351</c:v>
                </c:pt>
                <c:pt idx="19">
                  <c:v>11.126349858199152</c:v>
                </c:pt>
                <c:pt idx="20">
                  <c:v>10.191999127152394</c:v>
                </c:pt>
                <c:pt idx="21">
                  <c:v>8.16849846405143</c:v>
                </c:pt>
                <c:pt idx="22">
                  <c:v>5.586308861942443</c:v>
                </c:pt>
                <c:pt idx="23">
                  <c:v>2.7171906470965768</c:v>
                </c:pt>
                <c:pt idx="24">
                  <c:v>-0.3302341517631663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Расчеты!$A$243</c:f>
              <c:strCache>
                <c:ptCount val="1"/>
                <c:pt idx="0">
                  <c:v>(yt)H2=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Расчеты!$B$243:$IV$243</c:f>
              <c:numCache>
                <c:ptCount val="26"/>
                <c:pt idx="0">
                  <c:v>5.645567551713645</c:v>
                </c:pt>
                <c:pt idx="1">
                  <c:v>5.650111951414697</c:v>
                </c:pt>
                <c:pt idx="2">
                  <c:v>5.203488998111793</c:v>
                </c:pt>
                <c:pt idx="3">
                  <c:v>4.428820471989766</c:v>
                </c:pt>
                <c:pt idx="4">
                  <c:v>3.4580241461099868</c:v>
                </c:pt>
                <c:pt idx="5">
                  <c:v>2.427716231949896</c:v>
                </c:pt>
                <c:pt idx="6">
                  <c:v>1.4689827646918288</c:v>
                </c:pt>
                <c:pt idx="7">
                  <c:v>0.689352395299506</c:v>
                </c:pt>
                <c:pt idx="8">
                  <c:v>0.15235013559394606</c:v>
                </c:pt>
                <c:pt idx="9">
                  <c:v>-0.135366045909036</c:v>
                </c:pt>
                <c:pt idx="10">
                  <c:v>-0.22123340361829413</c:v>
                </c:pt>
                <c:pt idx="11">
                  <c:v>-0.1895438728928287</c:v>
                </c:pt>
                <c:pt idx="12">
                  <c:v>-0.1393476463273462</c:v>
                </c:pt>
                <c:pt idx="13">
                  <c:v>-0.16637436598863964</c:v>
                </c:pt>
                <c:pt idx="14">
                  <c:v>-0.34910343334428173</c:v>
                </c:pt>
                <c:pt idx="15">
                  <c:v>-0.7290655550847962</c:v>
                </c:pt>
                <c:pt idx="16">
                  <c:v>-1.269455589317365</c:v>
                </c:pt>
                <c:pt idx="17">
                  <c:v>-1.7858210764786326</c:v>
                </c:pt>
                <c:pt idx="18">
                  <c:v>-1.896693278998015</c:v>
                </c:pt>
                <c:pt idx="19">
                  <c:v>-1.133207511265423</c:v>
                </c:pt>
                <c:pt idx="20">
                  <c:v>0.7098423330497967</c:v>
                </c:pt>
                <c:pt idx="21">
                  <c:v>3.2755468682513484</c:v>
                </c:pt>
                <c:pt idx="22">
                  <c:v>5.84181557456831</c:v>
                </c:pt>
                <c:pt idx="23">
                  <c:v>7.81009885696151</c:v>
                </c:pt>
                <c:pt idx="24">
                  <c:v>8.920102030664216</c:v>
                </c:pt>
              </c:numCache>
            </c:numRef>
          </c:val>
          <c:smooth val="0"/>
        </c:ser>
        <c:marker val="1"/>
        <c:axId val="8827505"/>
        <c:axId val="1606894"/>
      </c:lineChart>
      <c:catAx>
        <c:axId val="882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894"/>
        <c:crosses val="autoZero"/>
        <c:auto val="1"/>
        <c:lblOffset val="100"/>
        <c:noMultiLvlLbl val="0"/>
      </c:catAx>
      <c:valAx>
        <c:axId val="160689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882750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65"/>
          <c:y val="0.2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Компоненты сил в точке Н5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0775"/>
          <c:w val="0.978"/>
          <c:h val="0.956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Расчеты!$A$232</c:f>
              <c:strCache>
                <c:ptCount val="1"/>
                <c:pt idx="0">
                  <c:v>(Qx)Н5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Расчеты!$B$232:$IV$232</c:f>
              <c:numCache>
                <c:ptCount val="26"/>
                <c:pt idx="0">
                  <c:v>-1.3443126703867405</c:v>
                </c:pt>
                <c:pt idx="1">
                  <c:v>-4.031813277785582</c:v>
                </c:pt>
                <c:pt idx="2">
                  <c:v>-5.354132541273599</c:v>
                </c:pt>
                <c:pt idx="3">
                  <c:v>-5.462300406839159</c:v>
                </c:pt>
                <c:pt idx="4">
                  <c:v>-4.571015552046008</c:v>
                </c:pt>
                <c:pt idx="5">
                  <c:v>-2.9790790797873132</c:v>
                </c:pt>
                <c:pt idx="6">
                  <c:v>-1.0694098973807917</c:v>
                </c:pt>
                <c:pt idx="7">
                  <c:v>0.7391660541357822</c:v>
                </c:pt>
                <c:pt idx="8">
                  <c:v>2.0795763969120378</c:v>
                </c:pt>
                <c:pt idx="9">
                  <c:v>2.7091153254644613</c:v>
                </c:pt>
                <c:pt idx="10">
                  <c:v>2.505871760395712</c:v>
                </c:pt>
                <c:pt idx="11">
                  <c:v>1.3844341289228423</c:v>
                </c:pt>
                <c:pt idx="12">
                  <c:v>-0.8005279194846733</c:v>
                </c:pt>
                <c:pt idx="13">
                  <c:v>-4.238991575520531</c:v>
                </c:pt>
                <c:pt idx="14">
                  <c:v>-8.831962570997565</c:v>
                </c:pt>
                <c:pt idx="15">
                  <c:v>-13.272487046133561</c:v>
                </c:pt>
                <c:pt idx="16">
                  <c:v>-13.867687466269928</c:v>
                </c:pt>
                <c:pt idx="17">
                  <c:v>-5.630202043744162</c:v>
                </c:pt>
                <c:pt idx="18">
                  <c:v>11.473219344801233</c:v>
                </c:pt>
                <c:pt idx="19">
                  <c:v>28.110797766101875</c:v>
                </c:pt>
                <c:pt idx="20">
                  <c:v>34.285754369736686</c:v>
                </c:pt>
                <c:pt idx="21">
                  <c:v>29.328640971671124</c:v>
                </c:pt>
                <c:pt idx="22">
                  <c:v>18.603807641057386</c:v>
                </c:pt>
                <c:pt idx="23">
                  <c:v>6.8282247025482965</c:v>
                </c:pt>
                <c:pt idx="24">
                  <c:v>6.835039537290483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Расчеты!$A$233</c:f>
              <c:strCache>
                <c:ptCount val="1"/>
                <c:pt idx="0">
                  <c:v>(Qy)Н5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Расчеты!$B$233:$IV$233</c:f>
              <c:numCache>
                <c:ptCount val="26"/>
                <c:pt idx="0">
                  <c:v>41.55449584377544</c:v>
                </c:pt>
                <c:pt idx="1">
                  <c:v>31.679449863645036</c:v>
                </c:pt>
                <c:pt idx="2">
                  <c:v>26.93964435642641</c:v>
                </c:pt>
                <c:pt idx="3">
                  <c:v>26.758128251743575</c:v>
                </c:pt>
                <c:pt idx="4">
                  <c:v>30.31849453114326</c:v>
                </c:pt>
                <c:pt idx="5">
                  <c:v>36.489652454786054</c:v>
                </c:pt>
                <c:pt idx="6">
                  <c:v>43.826857121288995</c:v>
                </c:pt>
                <c:pt idx="7">
                  <c:v>50.75270254009842</c:v>
                </c:pt>
                <c:pt idx="8">
                  <c:v>55.885251746576984</c:v>
                </c:pt>
                <c:pt idx="9">
                  <c:v>58.3098503079742</c:v>
                </c:pt>
                <c:pt idx="10">
                  <c:v>57.56640008099376</c:v>
                </c:pt>
                <c:pt idx="11">
                  <c:v>53.33511407586555</c:v>
                </c:pt>
                <c:pt idx="12">
                  <c:v>45.076748485550695</c:v>
                </c:pt>
                <c:pt idx="13">
                  <c:v>32.08938458919155</c:v>
                </c:pt>
                <c:pt idx="14">
                  <c:v>14.753026308435338</c:v>
                </c:pt>
                <c:pt idx="15">
                  <c:v>-2.0414085103794335</c:v>
                </c:pt>
                <c:pt idx="16">
                  <c:v>-4.496772636309686</c:v>
                </c:pt>
                <c:pt idx="17">
                  <c:v>26.01597136041306</c:v>
                </c:pt>
                <c:pt idx="18">
                  <c:v>89.63658671361144</c:v>
                </c:pt>
                <c:pt idx="19">
                  <c:v>151.55272661841468</c:v>
                </c:pt>
                <c:pt idx="20">
                  <c:v>174.467908693466</c:v>
                </c:pt>
                <c:pt idx="21">
                  <c:v>155.8925823383078</c:v>
                </c:pt>
                <c:pt idx="22">
                  <c:v>115.85189436158163</c:v>
                </c:pt>
                <c:pt idx="23">
                  <c:v>71.95084433327625</c:v>
                </c:pt>
                <c:pt idx="24">
                  <c:v>72.08025385582751</c:v>
                </c:pt>
              </c:numCache>
            </c:numRef>
          </c:val>
          <c:smooth val="0"/>
        </c:ser>
        <c:marker val="1"/>
        <c:axId val="30911671"/>
        <c:axId val="6563740"/>
      </c:lineChart>
      <c:catAx>
        <c:axId val="30911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3740"/>
        <c:crosses val="autoZero"/>
        <c:auto val="1"/>
        <c:lblOffset val="100"/>
        <c:noMultiLvlLbl val="0"/>
      </c:catAx>
      <c:valAx>
        <c:axId val="656374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091167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6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0825"/>
          <c:w val="0.967"/>
          <c:h val="0.961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Расчеты!$A$297</c:f>
              <c:strCache>
                <c:ptCount val="1"/>
                <c:pt idx="0">
                  <c:v>(Nx)O2=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Расчеты!$B$297:$IV$297</c:f>
              <c:numCache>
                <c:ptCount val="26"/>
                <c:pt idx="0">
                  <c:v>-1432.8068925097323</c:v>
                </c:pt>
                <c:pt idx="1">
                  <c:v>-356.6014212500501</c:v>
                </c:pt>
                <c:pt idx="2">
                  <c:v>-165.52119470193597</c:v>
                </c:pt>
                <c:pt idx="3">
                  <c:v>-90.33644850997095</c:v>
                </c:pt>
                <c:pt idx="4">
                  <c:v>-52.05522635105515</c:v>
                </c:pt>
                <c:pt idx="5">
                  <c:v>-27.535549472256953</c:v>
                </c:pt>
                <c:pt idx="6">
                  <c:v>-8.571956684291848</c:v>
                </c:pt>
                <c:pt idx="7">
                  <c:v>7.173368118053328</c:v>
                </c:pt>
                <c:pt idx="8">
                  <c:v>19.65834881445733</c:v>
                </c:pt>
                <c:pt idx="9">
                  <c:v>28.3945610125299</c:v>
                </c:pt>
                <c:pt idx="10">
                  <c:v>33.54167017296153</c:v>
                </c:pt>
                <c:pt idx="11">
                  <c:v>36.38370567717399</c:v>
                </c:pt>
                <c:pt idx="12">
                  <c:v>40.22890665107765</c:v>
                </c:pt>
                <c:pt idx="13">
                  <c:v>31.561240975036608</c:v>
                </c:pt>
                <c:pt idx="14">
                  <c:v>51.36864579603882</c:v>
                </c:pt>
                <c:pt idx="15">
                  <c:v>70.90475508752948</c:v>
                </c:pt>
                <c:pt idx="16">
                  <c:v>84.07688978047324</c:v>
                </c:pt>
                <c:pt idx="17">
                  <c:v>63.60486815142471</c:v>
                </c:pt>
                <c:pt idx="18">
                  <c:v>4.290541276143926</c:v>
                </c:pt>
                <c:pt idx="19">
                  <c:v>-49.72989856935021</c:v>
                </c:pt>
                <c:pt idx="20">
                  <c:v>-58.39917421656095</c:v>
                </c:pt>
                <c:pt idx="21">
                  <c:v>20.67695660305513</c:v>
                </c:pt>
                <c:pt idx="22">
                  <c:v>315.1466487442654</c:v>
                </c:pt>
                <c:pt idx="23">
                  <c:v>1480.6477184509338</c:v>
                </c:pt>
                <c:pt idx="24">
                  <c:v>-2732.2547301690956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Расчеты!$A$298</c:f>
              <c:strCache>
                <c:ptCount val="1"/>
                <c:pt idx="0">
                  <c:v>(Nx)O2=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Расчеты!$B$298:$IV$298</c:f>
              <c:numCache>
                <c:ptCount val="26"/>
                <c:pt idx="0">
                  <c:v>46.832295299658036</c:v>
                </c:pt>
                <c:pt idx="1">
                  <c:v>-39.66179870768655</c:v>
                </c:pt>
                <c:pt idx="2">
                  <c:v>-33.39573126128402</c:v>
                </c:pt>
                <c:pt idx="3">
                  <c:v>-22.280434658040065</c:v>
                </c:pt>
                <c:pt idx="4">
                  <c:v>-14.540616459400775</c:v>
                </c:pt>
                <c:pt idx="5">
                  <c:v>-10.138785880247775</c:v>
                </c:pt>
                <c:pt idx="6">
                  <c:v>-7.326962028223088</c:v>
                </c:pt>
                <c:pt idx="7">
                  <c:v>-4.270727981426157</c:v>
                </c:pt>
                <c:pt idx="8">
                  <c:v>0.3187121342475425</c:v>
                </c:pt>
                <c:pt idx="9">
                  <c:v>6.896626577668535</c:v>
                </c:pt>
                <c:pt idx="10">
                  <c:v>15.216651582941857</c:v>
                </c:pt>
                <c:pt idx="11">
                  <c:v>24.85789413573442</c:v>
                </c:pt>
                <c:pt idx="12">
                  <c:v>36.070628286061726</c:v>
                </c:pt>
                <c:pt idx="13">
                  <c:v>46.722834510617886</c:v>
                </c:pt>
                <c:pt idx="14">
                  <c:v>67.0065090248263</c:v>
                </c:pt>
                <c:pt idx="15">
                  <c:v>93.58669864525781</c:v>
                </c:pt>
                <c:pt idx="16">
                  <c:v>123.27594116293183</c:v>
                </c:pt>
                <c:pt idx="17">
                  <c:v>139.5684205095968</c:v>
                </c:pt>
                <c:pt idx="18">
                  <c:v>134.01882977611425</c:v>
                </c:pt>
                <c:pt idx="19">
                  <c:v>116.19469964803983</c:v>
                </c:pt>
                <c:pt idx="20">
                  <c:v>66.17386719649232</c:v>
                </c:pt>
                <c:pt idx="21">
                  <c:v>-45.43979786097542</c:v>
                </c:pt>
                <c:pt idx="22">
                  <c:v>-195.8529866784969</c:v>
                </c:pt>
                <c:pt idx="23">
                  <c:v>-389.09103007442326</c:v>
                </c:pt>
                <c:pt idx="24">
                  <c:v>62.74750641837597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Расчеты!$A$299</c:f>
              <c:strCache>
                <c:ptCount val="1"/>
                <c:pt idx="0">
                  <c:v>Mo2=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Расчеты!$B$299:$IV$299</c:f>
              <c:numCache>
                <c:ptCount val="26"/>
                <c:pt idx="0">
                  <c:v>334.3825884395584</c:v>
                </c:pt>
                <c:pt idx="1">
                  <c:v>385.4620691989311</c:v>
                </c:pt>
                <c:pt idx="2">
                  <c:v>384.43078630326835</c:v>
                </c:pt>
                <c:pt idx="3">
                  <c:v>343.62728391191314</c:v>
                </c:pt>
                <c:pt idx="4">
                  <c:v>270.0093989570462</c:v>
                </c:pt>
                <c:pt idx="5">
                  <c:v>171.2185587235011</c:v>
                </c:pt>
                <c:pt idx="6">
                  <c:v>61.26377072584379</c:v>
                </c:pt>
                <c:pt idx="7">
                  <c:v>-41.510473931039435</c:v>
                </c:pt>
                <c:pt idx="8">
                  <c:v>-122.61365673346259</c:v>
                </c:pt>
                <c:pt idx="9">
                  <c:v>-178.0861157566527</c:v>
                </c:pt>
                <c:pt idx="10">
                  <c:v>-213.734731293414</c:v>
                </c:pt>
                <c:pt idx="11">
                  <c:v>-238.56362015975276</c:v>
                </c:pt>
                <c:pt idx="12">
                  <c:v>-257.4242859624807</c:v>
                </c:pt>
                <c:pt idx="13">
                  <c:v>-263.7796958779608</c:v>
                </c:pt>
                <c:pt idx="14">
                  <c:v>-230.80341521383468</c:v>
                </c:pt>
                <c:pt idx="15">
                  <c:v>-114.3652905551442</c:v>
                </c:pt>
                <c:pt idx="16">
                  <c:v>79.94772813480175</c:v>
                </c:pt>
                <c:pt idx="17">
                  <c:v>180.91638324721646</c:v>
                </c:pt>
                <c:pt idx="18">
                  <c:v>30.814464711667455</c:v>
                </c:pt>
                <c:pt idx="19">
                  <c:v>-128.05862400805825</c:v>
                </c:pt>
                <c:pt idx="20">
                  <c:v>-124.66599670996769</c:v>
                </c:pt>
                <c:pt idx="21">
                  <c:v>-124.81120704093908</c:v>
                </c:pt>
                <c:pt idx="22">
                  <c:v>-85.74800973929482</c:v>
                </c:pt>
                <c:pt idx="23">
                  <c:v>52.971422820257125</c:v>
                </c:pt>
                <c:pt idx="24">
                  <c:v>448.25719582719955</c:v>
                </c:pt>
              </c:numCache>
            </c:numRef>
          </c:val>
          <c:smooth val="0"/>
        </c:ser>
        <c:marker val="1"/>
        <c:axId val="64843821"/>
        <c:axId val="63158970"/>
      </c:lineChart>
      <c:catAx>
        <c:axId val="64843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58970"/>
        <c:crosses val="autoZero"/>
        <c:auto val="1"/>
        <c:lblOffset val="100"/>
        <c:noMultiLvlLbl val="0"/>
      </c:catAx>
      <c:valAx>
        <c:axId val="6315897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484382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25"/>
          <c:y val="0.118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Компоненты сил в точке А2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"/>
          <c:w val="0.963"/>
          <c:h val="0.969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Расчеты!$A$249</c:f>
              <c:strCache>
                <c:ptCount val="1"/>
                <c:pt idx="0">
                  <c:v>(Qx)A2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Расчеты!$B$249:$IV$249</c:f>
              <c:numCache>
                <c:ptCount val="26"/>
                <c:pt idx="0">
                  <c:v>-34.36555153622562</c:v>
                </c:pt>
                <c:pt idx="1">
                  <c:v>-36.046243959376916</c:v>
                </c:pt>
                <c:pt idx="2">
                  <c:v>-31.310349210681963</c:v>
                </c:pt>
                <c:pt idx="3">
                  <c:v>-25.836174729689183</c:v>
                </c:pt>
                <c:pt idx="4">
                  <c:v>-19.702558306933515</c:v>
                </c:pt>
                <c:pt idx="5">
                  <c:v>-13.020023022796167</c:v>
                </c:pt>
                <c:pt idx="6">
                  <c:v>-6.0501458116700135</c:v>
                </c:pt>
                <c:pt idx="7">
                  <c:v>0.8730066621863983</c:v>
                </c:pt>
                <c:pt idx="8">
                  <c:v>7.479106205417882</c:v>
                </c:pt>
                <c:pt idx="9">
                  <c:v>13.674174564464945</c:v>
                </c:pt>
                <c:pt idx="10">
                  <c:v>19.563139727845005</c:v>
                </c:pt>
                <c:pt idx="11">
                  <c:v>25.38535146271249</c:v>
                </c:pt>
                <c:pt idx="12">
                  <c:v>31.415202908862646</c:v>
                </c:pt>
                <c:pt idx="13">
                  <c:v>38.59383949268863</c:v>
                </c:pt>
                <c:pt idx="14">
                  <c:v>46.0297120943973</c:v>
                </c:pt>
                <c:pt idx="15">
                  <c:v>54.675818985242216</c:v>
                </c:pt>
                <c:pt idx="16">
                  <c:v>62.962250455266194</c:v>
                </c:pt>
                <c:pt idx="17">
                  <c:v>66.99407967941275</c:v>
                </c:pt>
                <c:pt idx="18">
                  <c:v>60.50919170696109</c:v>
                </c:pt>
                <c:pt idx="19">
                  <c:v>36.83423759114821</c:v>
                </c:pt>
                <c:pt idx="20">
                  <c:v>-5.126797956896397</c:v>
                </c:pt>
                <c:pt idx="21">
                  <c:v>-51.972941706389115</c:v>
                </c:pt>
                <c:pt idx="22">
                  <c:v>-85.10259780438736</c:v>
                </c:pt>
                <c:pt idx="23">
                  <c:v>-100.4096292140857</c:v>
                </c:pt>
                <c:pt idx="24">
                  <c:v>-154.8760433857071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Расчеты!$A$250</c:f>
              <c:strCache>
                <c:ptCount val="1"/>
                <c:pt idx="0">
                  <c:v>(Qy)A2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Расчеты!$B$250:$IV$250</c:f>
              <c:numCache>
                <c:ptCount val="26"/>
                <c:pt idx="0">
                  <c:v>88.53013866332127</c:v>
                </c:pt>
                <c:pt idx="1">
                  <c:v>69.6854140982062</c:v>
                </c:pt>
                <c:pt idx="2">
                  <c:v>54.80669752894562</c:v>
                </c:pt>
                <c:pt idx="3">
                  <c:v>43.58517059593496</c:v>
                </c:pt>
                <c:pt idx="4">
                  <c:v>33.94238502825109</c:v>
                </c:pt>
                <c:pt idx="5">
                  <c:v>22.020180742615587</c:v>
                </c:pt>
                <c:pt idx="6">
                  <c:v>0.5356049970128609</c:v>
                </c:pt>
                <c:pt idx="7">
                  <c:v>-51.635801903660735</c:v>
                </c:pt>
                <c:pt idx="8">
                  <c:v>-331.1671603115734</c:v>
                </c:pt>
                <c:pt idx="9">
                  <c:v>329.76776984449396</c:v>
                </c:pt>
                <c:pt idx="10">
                  <c:v>120.22542617449743</c:v>
                </c:pt>
                <c:pt idx="11">
                  <c:v>46.79579242732354</c:v>
                </c:pt>
                <c:pt idx="12">
                  <c:v>20.671217072298425</c:v>
                </c:pt>
                <c:pt idx="13">
                  <c:v>76.47520553406429</c:v>
                </c:pt>
                <c:pt idx="14">
                  <c:v>78.79689968247905</c:v>
                </c:pt>
                <c:pt idx="15">
                  <c:v>34.29231178280075</c:v>
                </c:pt>
                <c:pt idx="16">
                  <c:v>32.118714389688066</c:v>
                </c:pt>
                <c:pt idx="17">
                  <c:v>156.20515310435923</c:v>
                </c:pt>
                <c:pt idx="18">
                  <c:v>431.6505604212739</c:v>
                </c:pt>
                <c:pt idx="19">
                  <c:v>920.6290467740307</c:v>
                </c:pt>
                <c:pt idx="20">
                  <c:v>-635.5767749351625</c:v>
                </c:pt>
                <c:pt idx="21">
                  <c:v>138.33645269801946</c:v>
                </c:pt>
                <c:pt idx="22">
                  <c:v>180.24407824345707</c:v>
                </c:pt>
                <c:pt idx="23">
                  <c:v>150.73392254084294</c:v>
                </c:pt>
                <c:pt idx="24">
                  <c:v>145.982030401115</c:v>
                </c:pt>
              </c:numCache>
            </c:numRef>
          </c:val>
          <c:smooth val="0"/>
        </c:ser>
        <c:marker val="1"/>
        <c:axId val="27491923"/>
        <c:axId val="66394568"/>
      </c:lineChart>
      <c:catAx>
        <c:axId val="2749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4568"/>
        <c:crosses val="autoZero"/>
        <c:auto val="1"/>
        <c:lblOffset val="100"/>
        <c:noMultiLvlLbl val="0"/>
      </c:catAx>
      <c:valAx>
        <c:axId val="6639456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4919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725"/>
          <c:y val="0.7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625"/>
          <c:w val="0.974"/>
          <c:h val="0.963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Расчеты!$A$213</c:f>
              <c:strCache>
                <c:ptCount val="1"/>
                <c:pt idx="0">
                  <c:v>(Qx)В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Расчеты!$B$213:$IV$213</c:f>
              <c:numCache>
                <c:ptCount val="26"/>
                <c:pt idx="0">
                  <c:v>-19.3949302160391</c:v>
                </c:pt>
                <c:pt idx="1">
                  <c:v>-15.680601460716842</c:v>
                </c:pt>
                <c:pt idx="2">
                  <c:v>-12.264355516344656</c:v>
                </c:pt>
                <c:pt idx="3">
                  <c:v>-8.87035026743766</c:v>
                </c:pt>
                <c:pt idx="4">
                  <c:v>-5.320418187780531</c:v>
                </c:pt>
                <c:pt idx="5">
                  <c:v>-1.6421696930966578</c:v>
                </c:pt>
                <c:pt idx="6">
                  <c:v>1.9668893774229885</c:v>
                </c:pt>
                <c:pt idx="7">
                  <c:v>5.2276786924293805</c:v>
                </c:pt>
                <c:pt idx="8">
                  <c:v>7.899229009874549</c:v>
                </c:pt>
                <c:pt idx="9">
                  <c:v>9.894590998897204</c:v>
                </c:pt>
                <c:pt idx="10">
                  <c:v>11.336112164404446</c:v>
                </c:pt>
                <c:pt idx="11">
                  <c:v>12.524098745911283</c:v>
                </c:pt>
                <c:pt idx="12">
                  <c:v>13.85523357670638</c:v>
                </c:pt>
                <c:pt idx="13">
                  <c:v>15.744786451187988</c:v>
                </c:pt>
                <c:pt idx="14">
                  <c:v>18.554465941662723</c:v>
                </c:pt>
                <c:pt idx="15">
                  <c:v>22.43544735915536</c:v>
                </c:pt>
                <c:pt idx="16">
                  <c:v>26.88035225472936</c:v>
                </c:pt>
                <c:pt idx="17">
                  <c:v>29.738831323646156</c:v>
                </c:pt>
                <c:pt idx="18">
                  <c:v>26.128703551691324</c:v>
                </c:pt>
                <c:pt idx="19">
                  <c:v>10.182383909177279</c:v>
                </c:pt>
                <c:pt idx="20">
                  <c:v>-16.91171461437619</c:v>
                </c:pt>
                <c:pt idx="21">
                  <c:v>-42.16297718838564</c:v>
                </c:pt>
                <c:pt idx="22">
                  <c:v>-54.02895472724386</c:v>
                </c:pt>
                <c:pt idx="23">
                  <c:v>-53.9860277253684</c:v>
                </c:pt>
                <c:pt idx="24">
                  <c:v>-48.92355845076547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Расчеты!$A$214</c:f>
              <c:strCache>
                <c:ptCount val="1"/>
                <c:pt idx="0">
                  <c:v>(Qy)В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Расчеты!$B$214:$IV$214</c:f>
              <c:numCache>
                <c:ptCount val="26"/>
                <c:pt idx="0">
                  <c:v>28.77979166245138</c:v>
                </c:pt>
                <c:pt idx="1">
                  <c:v>23.98383227845792</c:v>
                </c:pt>
                <c:pt idx="2">
                  <c:v>18.913235315222668</c:v>
                </c:pt>
                <c:pt idx="3">
                  <c:v>14.570819542556697</c:v>
                </c:pt>
                <c:pt idx="4">
                  <c:v>11.355935038718139</c:v>
                </c:pt>
                <c:pt idx="5">
                  <c:v>9.364711264031245</c:v>
                </c:pt>
                <c:pt idx="6">
                  <c:v>8.506190334873033</c:v>
                </c:pt>
                <c:pt idx="7">
                  <c:v>8.527291794075367</c:v>
                </c:pt>
                <c:pt idx="8">
                  <c:v>9.03003210002516</c:v>
                </c:pt>
                <c:pt idx="9">
                  <c:v>9.517212230847251</c:v>
                </c:pt>
                <c:pt idx="10">
                  <c:v>9.451231686038414</c:v>
                </c:pt>
                <c:pt idx="11">
                  <c:v>8.36492974228121</c:v>
                </c:pt>
                <c:pt idx="12">
                  <c:v>6.4686688244273585</c:v>
                </c:pt>
                <c:pt idx="13">
                  <c:v>5.798765993608504</c:v>
                </c:pt>
                <c:pt idx="14">
                  <c:v>7.3727053746740046</c:v>
                </c:pt>
                <c:pt idx="15">
                  <c:v>8.433199074336692</c:v>
                </c:pt>
                <c:pt idx="16">
                  <c:v>6.9212445636061375</c:v>
                </c:pt>
                <c:pt idx="17">
                  <c:v>2.3059368677296628</c:v>
                </c:pt>
                <c:pt idx="18">
                  <c:v>-4.130546658875018</c:v>
                </c:pt>
                <c:pt idx="19">
                  <c:v>-6.9185687555724</c:v>
                </c:pt>
                <c:pt idx="20">
                  <c:v>2.2339321544108652</c:v>
                </c:pt>
                <c:pt idx="21">
                  <c:v>23.54074671276351</c:v>
                </c:pt>
                <c:pt idx="22">
                  <c:v>44.399256000165806</c:v>
                </c:pt>
                <c:pt idx="23">
                  <c:v>53.63257938536416</c:v>
                </c:pt>
                <c:pt idx="24">
                  <c:v>50.74969907336264</c:v>
                </c:pt>
              </c:numCache>
            </c:numRef>
          </c:val>
          <c:smooth val="0"/>
        </c:ser>
        <c:marker val="1"/>
        <c:axId val="23536809"/>
        <c:axId val="26459206"/>
      </c:lineChart>
      <c:catAx>
        <c:axId val="23536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59206"/>
        <c:crosses val="autoZero"/>
        <c:auto val="1"/>
        <c:lblOffset val="100"/>
        <c:noMultiLvlLbl val="0"/>
      </c:catAx>
      <c:valAx>
        <c:axId val="26459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3680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6"/>
          <c:y val="0.07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25"/>
          <c:w val="0.95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Расчеты!$A$226</c:f>
              <c:strCache>
                <c:ptCount val="1"/>
                <c:pt idx="0">
                  <c:v>(Px)B=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Расчеты!$B$226:$IV$226</c:f>
              <c:numCache>
                <c:ptCount val="26"/>
                <c:pt idx="0">
                  <c:v>-19.41213838829713</c:v>
                </c:pt>
                <c:pt idx="1">
                  <c:v>-15.69392883963963</c:v>
                </c:pt>
                <c:pt idx="2">
                  <c:v>-12.273947960034022</c:v>
                </c:pt>
                <c:pt idx="3">
                  <c:v>-8.876471765350255</c:v>
                </c:pt>
                <c:pt idx="4">
                  <c:v>-5.323283058998769</c:v>
                </c:pt>
                <c:pt idx="5">
                  <c:v>-1.6419554398641603</c:v>
                </c:pt>
                <c:pt idx="6">
                  <c:v>1.969966621736869</c:v>
                </c:pt>
                <c:pt idx="7">
                  <c:v>5.23329328616283</c:v>
                </c:pt>
                <c:pt idx="8">
                  <c:v>7.906934715944739</c:v>
                </c:pt>
                <c:pt idx="9">
                  <c:v>9.903898353758</c:v>
                </c:pt>
                <c:pt idx="10">
                  <c:v>11.346628874166251</c:v>
                </c:pt>
                <c:pt idx="11">
                  <c:v>12.535668731275836</c:v>
                </c:pt>
                <c:pt idx="12">
                  <c:v>13.868025285367864</c:v>
                </c:pt>
                <c:pt idx="13">
                  <c:v>15.759322986117663</c:v>
                </c:pt>
                <c:pt idx="14">
                  <c:v>18.57159709419496</c:v>
                </c:pt>
                <c:pt idx="15">
                  <c:v>22.45619541535966</c:v>
                </c:pt>
                <c:pt idx="16">
                  <c:v>26.905394894245003</c:v>
                </c:pt>
                <c:pt idx="17">
                  <c:v>29.767166794989105</c:v>
                </c:pt>
                <c:pt idx="18">
                  <c:v>26.155319421117724</c:v>
                </c:pt>
                <c:pt idx="19">
                  <c:v>10.197004254996768</c:v>
                </c:pt>
                <c:pt idx="20">
                  <c:v>-16.91964800722199</c:v>
                </c:pt>
                <c:pt idx="21">
                  <c:v>-42.19440955305805</c:v>
                </c:pt>
                <c:pt idx="22">
                  <c:v>-54.07411094722778</c:v>
                </c:pt>
                <c:pt idx="23">
                  <c:v>-54.033681667084245</c:v>
                </c:pt>
                <c:pt idx="24">
                  <c:v>-48.96696779407929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Расчеты!$A$227</c:f>
              <c:strCache>
                <c:ptCount val="1"/>
                <c:pt idx="0">
                  <c:v>(Py)B=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Расчеты!$B$227:$IV$227</c:f>
              <c:numCache>
                <c:ptCount val="26"/>
                <c:pt idx="0">
                  <c:v>28.79399999462055</c:v>
                </c:pt>
                <c:pt idx="1">
                  <c:v>23.99425000244963</c:v>
                </c:pt>
                <c:pt idx="2">
                  <c:v>18.919992557564576</c:v>
                </c:pt>
                <c:pt idx="3">
                  <c:v>14.574557497404294</c:v>
                </c:pt>
                <c:pt idx="4">
                  <c:v>11.357402990056805</c:v>
                </c:pt>
                <c:pt idx="5">
                  <c:v>9.364621868667985</c:v>
                </c:pt>
                <c:pt idx="6">
                  <c:v>8.505176534504393</c:v>
                </c:pt>
                <c:pt idx="7">
                  <c:v>8.525879979270846</c:v>
                </c:pt>
                <c:pt idx="8">
                  <c:v>9.02860907658357</c:v>
                </c:pt>
                <c:pt idx="9">
                  <c:v>9.51600290566837</c:v>
                </c:pt>
                <c:pt idx="10">
                  <c:v>9.450309547366867</c:v>
                </c:pt>
                <c:pt idx="11">
                  <c:v>8.3642570735114</c:v>
                </c:pt>
                <c:pt idx="12">
                  <c:v>6.468138341982815</c:v>
                </c:pt>
                <c:pt idx="13">
                  <c:v>5.798213117224919</c:v>
                </c:pt>
                <c:pt idx="14">
                  <c:v>7.371872656270454</c:v>
                </c:pt>
                <c:pt idx="15">
                  <c:v>8.43165082430731</c:v>
                </c:pt>
                <c:pt idx="16">
                  <c:v>6.918282435447397</c:v>
                </c:pt>
                <c:pt idx="17">
                  <c:v>2.300765928106842</c:v>
                </c:pt>
                <c:pt idx="18">
                  <c:v>-4.137735213449345</c:v>
                </c:pt>
                <c:pt idx="19">
                  <c:v>-6.9241503754673825</c:v>
                </c:pt>
                <c:pt idx="20">
                  <c:v>2.2379951087950696</c:v>
                </c:pt>
                <c:pt idx="21">
                  <c:v>23.56103196347712</c:v>
                </c:pt>
                <c:pt idx="22">
                  <c:v>44.4333963548471</c:v>
                </c:pt>
                <c:pt idx="23">
                  <c:v>53.67163604899608</c:v>
                </c:pt>
                <c:pt idx="24">
                  <c:v>50.78554101867792</c:v>
                </c:pt>
              </c:numCache>
            </c:numRef>
          </c:val>
          <c:smooth val="0"/>
        </c:ser>
        <c:marker val="1"/>
        <c:axId val="3398831"/>
        <c:axId val="6002100"/>
      </c:lineChart>
      <c:catAx>
        <c:axId val="339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2100"/>
        <c:crosses val="autoZero"/>
        <c:auto val="1"/>
        <c:lblOffset val="100"/>
        <c:noMultiLvlLbl val="0"/>
      </c:catAx>
      <c:valAx>
        <c:axId val="6002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8831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25"/>
          <c:y val="0.10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Расчеты!$A$264</c:f>
              <c:strCache>
                <c:ptCount val="1"/>
                <c:pt idx="0">
                  <c:v>(Px)A1=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Расчеты!$B$264:$IV$264</c:f>
              <c:numCache/>
            </c:numRef>
          </c:val>
          <c:smooth val="0"/>
        </c:ser>
        <c:ser>
          <c:idx val="1"/>
          <c:order val="1"/>
          <c:tx>
            <c:strRef>
              <c:f>Расчеты!$A$265</c:f>
              <c:strCache>
                <c:ptCount val="1"/>
                <c:pt idx="0">
                  <c:v>(Py)A1=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Расчеты!$B$265:$IV$265</c:f>
              <c:numCache/>
            </c:numRef>
          </c:val>
          <c:smooth val="0"/>
        </c:ser>
        <c:marker val="1"/>
        <c:axId val="52105735"/>
        <c:axId val="24333228"/>
      </c:lineChart>
      <c:catAx>
        <c:axId val="5210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3228"/>
        <c:crosses val="autoZero"/>
        <c:auto val="1"/>
        <c:lblOffset val="100"/>
        <c:noMultiLvlLbl val="0"/>
      </c:catAx>
      <c:valAx>
        <c:axId val="24333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05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Изменение кинетической энергии звеньев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775"/>
          <c:w val="0.962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Расчеты!$A$174</c:f>
              <c:strCache>
                <c:ptCount val="1"/>
                <c:pt idx="0">
                  <c:v>Екин1=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Расчеты!$B$174:$IV$174</c:f>
              <c:numCache>
                <c:ptCount val="26"/>
                <c:pt idx="0">
                  <c:v>25.9898</c:v>
                </c:pt>
                <c:pt idx="1">
                  <c:v>25.989800000000002</c:v>
                </c:pt>
                <c:pt idx="2">
                  <c:v>26.126060405861324</c:v>
                </c:pt>
                <c:pt idx="3">
                  <c:v>26.399650005269233</c:v>
                </c:pt>
                <c:pt idx="4">
                  <c:v>26.811623642972783</c:v>
                </c:pt>
                <c:pt idx="5">
                  <c:v>27.362989353812186</c:v>
                </c:pt>
                <c:pt idx="6">
                  <c:v>28.05467804046668</c:v>
                </c:pt>
                <c:pt idx="7">
                  <c:v>28.88751795993377</c:v>
                </c:pt>
                <c:pt idx="8">
                  <c:v>29.862215712144636</c:v>
                </c:pt>
                <c:pt idx="9">
                  <c:v>30.979344650721853</c:v>
                </c:pt>
                <c:pt idx="10">
                  <c:v>32.239340806039685</c:v>
                </c:pt>
                <c:pt idx="11">
                  <c:v>33.64250566855307</c:v>
                </c:pt>
                <c:pt idx="12">
                  <c:v>35.1890146326029</c:v>
                </c:pt>
                <c:pt idx="13">
                  <c:v>36.87892959788911</c:v>
                </c:pt>
                <c:pt idx="14">
                  <c:v>38.71221416139565</c:v>
                </c:pt>
                <c:pt idx="15">
                  <c:v>40.688749959081925</c:v>
                </c:pt>
                <c:pt idx="16">
                  <c:v>42.80835296630583</c:v>
                </c:pt>
                <c:pt idx="17">
                  <c:v>45.07078887052777</c:v>
                </c:pt>
                <c:pt idx="18">
                  <c:v>47.475786934112485</c:v>
                </c:pt>
                <c:pt idx="19">
                  <c:v>50.02305203237508</c:v>
                </c:pt>
                <c:pt idx="20">
                  <c:v>52.712274764013465</c:v>
                </c:pt>
                <c:pt idx="21">
                  <c:v>55.54313968365706</c:v>
                </c:pt>
                <c:pt idx="22">
                  <c:v>58.51533180464774</c:v>
                </c:pt>
                <c:pt idx="23">
                  <c:v>61.62854157426257</c:v>
                </c:pt>
                <c:pt idx="24">
                  <c:v>64.88246854461242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Расчеты!$A$175</c:f>
              <c:strCache>
                <c:ptCount val="1"/>
                <c:pt idx="0">
                  <c:v>Екин2=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Расчеты!$B$175:$IV$175</c:f>
              <c:numCache>
                <c:ptCount val="26"/>
                <c:pt idx="0">
                  <c:v>51.56428905839354</c:v>
                </c:pt>
                <c:pt idx="1">
                  <c:v>32.50300337836344</c:v>
                </c:pt>
                <c:pt idx="2">
                  <c:v>28.955109998897104</c:v>
                </c:pt>
                <c:pt idx="3">
                  <c:v>35.8436215806965</c:v>
                </c:pt>
                <c:pt idx="4">
                  <c:v>48.75610948095683</c:v>
                </c:pt>
                <c:pt idx="5">
                  <c:v>64.41391137225632</c:v>
                </c:pt>
                <c:pt idx="6">
                  <c:v>80.39514292377703</c:v>
                </c:pt>
                <c:pt idx="7">
                  <c:v>94.807484706682</c:v>
                </c:pt>
                <c:pt idx="8">
                  <c:v>106.10079110923873</c:v>
                </c:pt>
                <c:pt idx="9">
                  <c:v>113.02317558410957</c:v>
                </c:pt>
                <c:pt idx="10">
                  <c:v>114.66636341680562</c:v>
                </c:pt>
                <c:pt idx="11">
                  <c:v>110.54997361595974</c:v>
                </c:pt>
                <c:pt idx="12">
                  <c:v>100.75087979282367</c:v>
                </c:pt>
                <c:pt idx="13">
                  <c:v>86.17896062334447</c:v>
                </c:pt>
                <c:pt idx="14">
                  <c:v>69.20133885759587</c:v>
                </c:pt>
                <c:pt idx="15">
                  <c:v>54.86161527124803</c:v>
                </c:pt>
                <c:pt idx="16">
                  <c:v>52.67945556876924</c:v>
                </c:pt>
                <c:pt idx="17">
                  <c:v>77.58686056843598</c:v>
                </c:pt>
                <c:pt idx="18">
                  <c:v>144.6216970855154</c:v>
                </c:pt>
                <c:pt idx="19">
                  <c:v>249.3322039565638</c:v>
                </c:pt>
                <c:pt idx="20">
                  <c:v>345.2278656377252</c:v>
                </c:pt>
                <c:pt idx="21">
                  <c:v>368.4174273629471</c:v>
                </c:pt>
                <c:pt idx="22">
                  <c:v>307.06112363703335</c:v>
                </c:pt>
                <c:pt idx="23">
                  <c:v>209.97737699330597</c:v>
                </c:pt>
                <c:pt idx="24">
                  <c:v>128.72813037639855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Расчеты!$A$176</c:f>
              <c:strCache>
                <c:ptCount val="1"/>
                <c:pt idx="0">
                  <c:v>Екин3=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Расчеты!$B$176:$IV$176</c:f>
              <c:numCache>
                <c:ptCount val="26"/>
                <c:pt idx="0">
                  <c:v>1.5277729356558554</c:v>
                </c:pt>
                <c:pt idx="1">
                  <c:v>14.800858649772486</c:v>
                </c:pt>
                <c:pt idx="2">
                  <c:v>32.947189655108645</c:v>
                </c:pt>
                <c:pt idx="3">
                  <c:v>48.67945885715298</c:v>
                </c:pt>
                <c:pt idx="4">
                  <c:v>58.464951315227275</c:v>
                </c:pt>
                <c:pt idx="5">
                  <c:v>61.27241555788678</c:v>
                </c:pt>
                <c:pt idx="6">
                  <c:v>57.63138509262466</c:v>
                </c:pt>
                <c:pt idx="7">
                  <c:v>49.08108691130463</c:v>
                </c:pt>
                <c:pt idx="8">
                  <c:v>37.72771405269471</c:v>
                </c:pt>
                <c:pt idx="9">
                  <c:v>25.749208974296145</c:v>
                </c:pt>
                <c:pt idx="10">
                  <c:v>14.94207233352094</c:v>
                </c:pt>
                <c:pt idx="11">
                  <c:v>6.527156336153896</c:v>
                </c:pt>
                <c:pt idx="12">
                  <c:v>1.3149718771594543</c:v>
                </c:pt>
                <c:pt idx="13">
                  <c:v>0.15426443764405645</c:v>
                </c:pt>
                <c:pt idx="14">
                  <c:v>4.549714686625556</c:v>
                </c:pt>
                <c:pt idx="15">
                  <c:v>17.369400866386254</c:v>
                </c:pt>
                <c:pt idx="16">
                  <c:v>43.32632364062349</c:v>
                </c:pt>
                <c:pt idx="17">
                  <c:v>87.77248773731792</c:v>
                </c:pt>
                <c:pt idx="18">
                  <c:v>150.02439020867556</c:v>
                </c:pt>
                <c:pt idx="19">
                  <c:v>209.18400164354864</c:v>
                </c:pt>
                <c:pt idx="20">
                  <c:v>221.24241424107856</c:v>
                </c:pt>
                <c:pt idx="21">
                  <c:v>161.88036533383286</c:v>
                </c:pt>
                <c:pt idx="22">
                  <c:v>70.58630951140289</c:v>
                </c:pt>
                <c:pt idx="23">
                  <c:v>9.807035048345284</c:v>
                </c:pt>
                <c:pt idx="24">
                  <c:v>3.814022402673388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Расчеты!$A$177</c:f>
              <c:strCache>
                <c:ptCount val="1"/>
                <c:pt idx="0">
                  <c:v>Екин4=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Расчеты!$B$177:$IV$177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Расчеты!$A$178</c:f>
              <c:strCache>
                <c:ptCount val="1"/>
                <c:pt idx="0">
                  <c:v>Екин5=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Расчеты!$B$178:$IV$178</c:f>
              <c:numCache>
                <c:ptCount val="26"/>
                <c:pt idx="0">
                  <c:v>78.52425728051566</c:v>
                </c:pt>
                <c:pt idx="1">
                  <c:v>64.76296731832261</c:v>
                </c:pt>
                <c:pt idx="2">
                  <c:v>40.65628625524027</c:v>
                </c:pt>
                <c:pt idx="3">
                  <c:v>18.436597426858693</c:v>
                </c:pt>
                <c:pt idx="4">
                  <c:v>4.830851192074767</c:v>
                </c:pt>
                <c:pt idx="5">
                  <c:v>0.16970602441630556</c:v>
                </c:pt>
                <c:pt idx="6">
                  <c:v>0.713382584980133</c:v>
                </c:pt>
                <c:pt idx="7">
                  <c:v>2.195537597469532</c:v>
                </c:pt>
                <c:pt idx="8">
                  <c:v>2.3875410621424837</c:v>
                </c:pt>
                <c:pt idx="9">
                  <c:v>1.423654724914053</c:v>
                </c:pt>
                <c:pt idx="10">
                  <c:v>0.42380109534992194</c:v>
                </c:pt>
                <c:pt idx="11">
                  <c:v>0.028484411404173692</c:v>
                </c:pt>
                <c:pt idx="12">
                  <c:v>4.068816056803784E-05</c:v>
                </c:pt>
                <c:pt idx="13">
                  <c:v>0.1992366838959878</c:v>
                </c:pt>
                <c:pt idx="14">
                  <c:v>3.244625809283232</c:v>
                </c:pt>
                <c:pt idx="15">
                  <c:v>18.772677410526263</c:v>
                </c:pt>
                <c:pt idx="16">
                  <c:v>63.12741050172657</c:v>
                </c:pt>
                <c:pt idx="17">
                  <c:v>135.1616774748722</c:v>
                </c:pt>
                <c:pt idx="18">
                  <c:v>174.86898085921075</c:v>
                </c:pt>
                <c:pt idx="19">
                  <c:v>115.45798527260551</c:v>
                </c:pt>
                <c:pt idx="20">
                  <c:v>20.307080412976802</c:v>
                </c:pt>
                <c:pt idx="21">
                  <c:v>8.686718395919137</c:v>
                </c:pt>
                <c:pt idx="22">
                  <c:v>83.08046410613395</c:v>
                </c:pt>
                <c:pt idx="23">
                  <c:v>164.62534440933626</c:v>
                </c:pt>
                <c:pt idx="24">
                  <c:v>164.62534440933626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Расчеты!$A$179</c:f>
              <c:strCache>
                <c:ptCount val="1"/>
                <c:pt idx="0">
                  <c:v>EкинОб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Расчеты!$B$179:$IV$179</c:f>
              <c:numCache>
                <c:ptCount val="26"/>
                <c:pt idx="0">
                  <c:v>157.60611927456506</c:v>
                </c:pt>
                <c:pt idx="1">
                  <c:v>138.05662934645852</c:v>
                </c:pt>
                <c:pt idx="2">
                  <c:v>128.68464631510733</c:v>
                </c:pt>
                <c:pt idx="3">
                  <c:v>129.3593278699774</c:v>
                </c:pt>
                <c:pt idx="4">
                  <c:v>138.86353563123166</c:v>
                </c:pt>
                <c:pt idx="5">
                  <c:v>153.2190223083716</c:v>
                </c:pt>
                <c:pt idx="6">
                  <c:v>166.79458864184852</c:v>
                </c:pt>
                <c:pt idx="7">
                  <c:v>174.97162717538993</c:v>
                </c:pt>
                <c:pt idx="8">
                  <c:v>176.07826193622054</c:v>
                </c:pt>
                <c:pt idx="9">
                  <c:v>171.17538393404163</c:v>
                </c:pt>
                <c:pt idx="10">
                  <c:v>162.27157765171617</c:v>
                </c:pt>
                <c:pt idx="11">
                  <c:v>150.7481200320709</c:v>
                </c:pt>
                <c:pt idx="12">
                  <c:v>137.25490699074658</c:v>
                </c:pt>
                <c:pt idx="13">
                  <c:v>123.41139134277363</c:v>
                </c:pt>
                <c:pt idx="14">
                  <c:v>115.70789351490032</c:v>
                </c:pt>
                <c:pt idx="15">
                  <c:v>131.69244350724247</c:v>
                </c:pt>
                <c:pt idx="16">
                  <c:v>201.94154267742516</c:v>
                </c:pt>
                <c:pt idx="17">
                  <c:v>345.59181465115387</c:v>
                </c:pt>
                <c:pt idx="18">
                  <c:v>516.9908550875142</c:v>
                </c:pt>
                <c:pt idx="19">
                  <c:v>623.997242905093</c:v>
                </c:pt>
                <c:pt idx="20">
                  <c:v>639.489635055794</c:v>
                </c:pt>
                <c:pt idx="21">
                  <c:v>594.527650776356</c:v>
                </c:pt>
                <c:pt idx="22">
                  <c:v>519.2432290592179</c:v>
                </c:pt>
                <c:pt idx="23">
                  <c:v>446.03829802525007</c:v>
                </c:pt>
                <c:pt idx="24">
                  <c:v>362.04996573302066</c:v>
                </c:pt>
              </c:numCache>
            </c:numRef>
          </c:val>
          <c:smooth val="0"/>
        </c:ser>
        <c:marker val="1"/>
        <c:axId val="30583781"/>
        <c:axId val="53671314"/>
      </c:lineChart>
      <c:catAx>
        <c:axId val="3058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71314"/>
        <c:crosses val="autoZero"/>
        <c:auto val="1"/>
        <c:lblOffset val="100"/>
        <c:noMultiLvlLbl val="0"/>
      </c:catAx>
      <c:valAx>
        <c:axId val="5367131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0583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204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Расход мощности на звеньях механизма</a:t>
            </a:r>
          </a:p>
        </c:rich>
      </c:tx>
      <c:layout>
        <c:manualLayout>
          <c:xMode val="factor"/>
          <c:yMode val="factor"/>
          <c:x val="0.002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035"/>
          <c:w val="0.942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Расчеты!$A$304</c:f>
              <c:strCache>
                <c:ptCount val="1"/>
                <c:pt idx="0">
                  <c:v>Wsum_1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Расчеты!$B$304:$IV$304</c:f>
              <c:numCache>
                <c:ptCount val="26"/>
                <c:pt idx="0">
                  <c:v>70.0434</c:v>
                </c:pt>
                <c:pt idx="1">
                  <c:v>68.17652502109573</c:v>
                </c:pt>
                <c:pt idx="2">
                  <c:v>61.86048325591256</c:v>
                </c:pt>
                <c:pt idx="3">
                  <c:v>51.48879180556233</c:v>
                </c:pt>
                <c:pt idx="4">
                  <c:v>37.68290245866879</c:v>
                </c:pt>
                <c:pt idx="5">
                  <c:v>21.26807521892129</c:v>
                </c:pt>
                <c:pt idx="6">
                  <c:v>3.240301033428865</c:v>
                </c:pt>
                <c:pt idx="7">
                  <c:v>-15.276429081809969</c:v>
                </c:pt>
                <c:pt idx="8">
                  <c:v>-33.08280735781264</c:v>
                </c:pt>
                <c:pt idx="9">
                  <c:v>-48.96627679777806</c:v>
                </c:pt>
                <c:pt idx="10">
                  <c:v>-61.77069184726783</c:v>
                </c:pt>
                <c:pt idx="11">
                  <c:v>-70.47039383910872</c:v>
                </c:pt>
                <c:pt idx="12">
                  <c:v>-74.24420635215482</c:v>
                </c:pt>
                <c:pt idx="13">
                  <c:v>-72.54384381134518</c:v>
                </c:pt>
                <c:pt idx="14">
                  <c:v>-65.15071195912702</c:v>
                </c:pt>
                <c:pt idx="15">
                  <c:v>-52.2151847400267</c:v>
                </c:pt>
                <c:pt idx="16">
                  <c:v>-34.273210437821604</c:v>
                </c:pt>
                <c:pt idx="17">
                  <c:v>-12.236491046960055</c:v>
                </c:pt>
                <c:pt idx="18">
                  <c:v>12.645617915346053</c:v>
                </c:pt>
                <c:pt idx="19">
                  <c:v>38.8520905410939</c:v>
                </c:pt>
                <c:pt idx="20">
                  <c:v>64.681306366034</c:v>
                </c:pt>
                <c:pt idx="21">
                  <c:v>88.36210887932818</c:v>
                </c:pt>
                <c:pt idx="22">
                  <c:v>108.17770536129265</c:v>
                </c:pt>
                <c:pt idx="23">
                  <c:v>122.5937169519303</c:v>
                </c:pt>
                <c:pt idx="24">
                  <c:v>130.38077542342876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Расчеты!$A$305</c:f>
              <c:strCache>
                <c:ptCount val="1"/>
                <c:pt idx="0">
                  <c:v>Wsum_2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Расчеты!$B$305:$IV$305</c:f>
              <c:numCache>
                <c:ptCount val="26"/>
                <c:pt idx="0">
                  <c:v>2.6744151334912942</c:v>
                </c:pt>
                <c:pt idx="1">
                  <c:v>68.77845771045676</c:v>
                </c:pt>
                <c:pt idx="2">
                  <c:v>111.39057257153613</c:v>
                </c:pt>
                <c:pt idx="3">
                  <c:v>129.06912487531633</c:v>
                </c:pt>
                <c:pt idx="4">
                  <c:v>126.27983619824931</c:v>
                </c:pt>
                <c:pt idx="5">
                  <c:v>107.78120371161636</c:v>
                </c:pt>
                <c:pt idx="6">
                  <c:v>77.2418044146751</c:v>
                </c:pt>
                <c:pt idx="7">
                  <c:v>37.3483759419966</c:v>
                </c:pt>
                <c:pt idx="8">
                  <c:v>-9.671638042142874</c:v>
                </c:pt>
                <c:pt idx="9">
                  <c:v>-61.467705592727185</c:v>
                </c:pt>
                <c:pt idx="10">
                  <c:v>-115.07683716626741</c:v>
                </c:pt>
                <c:pt idx="11">
                  <c:v>-166.55087895360433</c:v>
                </c:pt>
                <c:pt idx="12">
                  <c:v>-210.48390180907967</c:v>
                </c:pt>
                <c:pt idx="13">
                  <c:v>-238.96024511585006</c:v>
                </c:pt>
                <c:pt idx="14">
                  <c:v>-239.34971759001263</c:v>
                </c:pt>
                <c:pt idx="15">
                  <c:v>-190.90074426254125</c:v>
                </c:pt>
                <c:pt idx="16">
                  <c:v>-63.14461313656074</c:v>
                </c:pt>
                <c:pt idx="17">
                  <c:v>170.4993840176338</c:v>
                </c:pt>
                <c:pt idx="18">
                  <c:v>475.0692060929704</c:v>
                </c:pt>
                <c:pt idx="19">
                  <c:v>664.8059131346281</c:v>
                </c:pt>
                <c:pt idx="20">
                  <c:v>488.00622291156077</c:v>
                </c:pt>
                <c:pt idx="21">
                  <c:v>10.668604594204425</c:v>
                </c:pt>
                <c:pt idx="22">
                  <c:v>-357.87528619085435</c:v>
                </c:pt>
                <c:pt idx="23">
                  <c:v>-396.34877156570576</c:v>
                </c:pt>
                <c:pt idx="24">
                  <c:v>-210.4890612624284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Расчеты!$A$306</c:f>
              <c:strCache>
                <c:ptCount val="1"/>
                <c:pt idx="0">
                  <c:v>Wsum_3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Расчеты!$B$306:$IV$306</c:f>
              <c:numCache>
                <c:ptCount val="26"/>
                <c:pt idx="0">
                  <c:v>38.660750694919784</c:v>
                </c:pt>
                <c:pt idx="1">
                  <c:v>98.07301688327189</c:v>
                </c:pt>
                <c:pt idx="2">
                  <c:v>112.83725821307456</c:v>
                </c:pt>
                <c:pt idx="3">
                  <c:v>99.4182873491066</c:v>
                </c:pt>
                <c:pt idx="4">
                  <c:v>71.2177219330974</c:v>
                </c:pt>
                <c:pt idx="5">
                  <c:v>37.65201718192905</c:v>
                </c:pt>
                <c:pt idx="6">
                  <c:v>5.634886488341962</c:v>
                </c:pt>
                <c:pt idx="7">
                  <c:v>-19.71478127343078</c:v>
                </c:pt>
                <c:pt idx="8">
                  <c:v>-35.39783200966311</c:v>
                </c:pt>
                <c:pt idx="9">
                  <c:v>-40.96468692954834</c:v>
                </c:pt>
                <c:pt idx="10">
                  <c:v>-38.04051071361775</c:v>
                </c:pt>
                <c:pt idx="11">
                  <c:v>-28.864560138076097</c:v>
                </c:pt>
                <c:pt idx="12">
                  <c:v>-14.634848779607655</c:v>
                </c:pt>
                <c:pt idx="13">
                  <c:v>5.728058547527606</c:v>
                </c:pt>
                <c:pt idx="14">
                  <c:v>36.44503774682777</c:v>
                </c:pt>
                <c:pt idx="15">
                  <c:v>85.20243159100347</c:v>
                </c:pt>
                <c:pt idx="16">
                  <c:v>160.1604771472965</c:v>
                </c:pt>
                <c:pt idx="17">
                  <c:v>254.04149029431616</c:v>
                </c:pt>
                <c:pt idx="18">
                  <c:v>302.89614180919335</c:v>
                </c:pt>
                <c:pt idx="19">
                  <c:v>162.9560708969352</c:v>
                </c:pt>
                <c:pt idx="20">
                  <c:v>-224.6386642388488</c:v>
                </c:pt>
                <c:pt idx="21">
                  <c:v>-576.3303310077381</c:v>
                </c:pt>
                <c:pt idx="22">
                  <c:v>-551.8228497713478</c:v>
                </c:pt>
                <c:pt idx="23">
                  <c:v>-222.98853556284462</c:v>
                </c:pt>
                <c:pt idx="24">
                  <c:v>128.57127132150217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Расчеты!$A$307</c:f>
              <c:strCache>
                <c:ptCount val="1"/>
                <c:pt idx="0">
                  <c:v>Wtehn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Расчеты!$B$307:$IV$307</c:f>
              <c:numCache>
                <c:ptCount val="26"/>
                <c:pt idx="0">
                  <c:v>12.56758068382229</c:v>
                </c:pt>
                <c:pt idx="1">
                  <c:v>12.04058688023355</c:v>
                </c:pt>
                <c:pt idx="2">
                  <c:v>9.988873450454298</c:v>
                </c:pt>
                <c:pt idx="3">
                  <c:v>6.975851450295725</c:v>
                </c:pt>
                <c:pt idx="4">
                  <c:v>3.662614858655131</c:v>
                </c:pt>
                <c:pt idx="5">
                  <c:v>0.6957982380495913</c:v>
                </c:pt>
                <c:pt idx="6">
                  <c:v>-1.4282135183445002</c:v>
                </c:pt>
                <c:pt idx="7">
                  <c:v>-2.477568554561116</c:v>
                </c:pt>
                <c:pt idx="8">
                  <c:v>-2.5242811235420093</c:v>
                </c:pt>
                <c:pt idx="9">
                  <c:v>-1.8832278727489682</c:v>
                </c:pt>
                <c:pt idx="10">
                  <c:v>-0.9829293076994977</c:v>
                </c:pt>
                <c:pt idx="11">
                  <c:v>-0.2418412664299618</c:v>
                </c:pt>
                <c:pt idx="12">
                  <c:v>-0.00862890928271661</c:v>
                </c:pt>
                <c:pt idx="13">
                  <c:v>-0.5690287773566162</c:v>
                </c:pt>
                <c:pt idx="14">
                  <c:v>-2.1695090309344005</c:v>
                </c:pt>
                <c:pt idx="15">
                  <c:v>-4.96690586090504</c:v>
                </c:pt>
                <c:pt idx="16">
                  <c:v>-8.776375420043545</c:v>
                </c:pt>
                <c:pt idx="17">
                  <c:v>-12.579043467852363</c:v>
                </c:pt>
                <c:pt idx="18">
                  <c:v>-14.282358935264968</c:v>
                </c:pt>
                <c:pt idx="19">
                  <c:v>-11.808160424430724</c:v>
                </c:pt>
                <c:pt idx="20">
                  <c:v>-5.125243977226893</c:v>
                </c:pt>
                <c:pt idx="21">
                  <c:v>3.5151662727247706</c:v>
                </c:pt>
                <c:pt idx="22">
                  <c:v>11.494988211107197</c:v>
                </c:pt>
                <c:pt idx="23">
                  <c:v>17.16826526855737</c:v>
                </c:pt>
                <c:pt idx="24">
                  <c:v>19.857011886125022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Расчеты!$A$308</c:f>
              <c:strCache>
                <c:ptCount val="1"/>
                <c:pt idx="0">
                  <c:v>Wsum_5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Расчеты!$B$308:$IV$308</c:f>
              <c:numCache>
                <c:ptCount val="26"/>
                <c:pt idx="0">
                  <c:v>210.43644192732495</c:v>
                </c:pt>
                <c:pt idx="1">
                  <c:v>138.39348270387308</c:v>
                </c:pt>
                <c:pt idx="2">
                  <c:v>89.36003625734426</c:v>
                </c:pt>
                <c:pt idx="3">
                  <c:v>59.37407080840882</c:v>
                </c:pt>
                <c:pt idx="4">
                  <c:v>35.40208388020562</c:v>
                </c:pt>
                <c:pt idx="5">
                  <c:v>8.286471987683347</c:v>
                </c:pt>
                <c:pt idx="6">
                  <c:v>-21.03782702091854</c:v>
                </c:pt>
                <c:pt idx="7">
                  <c:v>-43.64302546237765</c:v>
                </c:pt>
                <c:pt idx="8">
                  <c:v>-50.754616336426245</c:v>
                </c:pt>
                <c:pt idx="9">
                  <c:v>-41.14874293190895</c:v>
                </c:pt>
                <c:pt idx="10">
                  <c:v>-22.17822061685539</c:v>
                </c:pt>
                <c:pt idx="11">
                  <c:v>-5.295493613707404</c:v>
                </c:pt>
                <c:pt idx="12">
                  <c:v>-0.16619017088391402</c:v>
                </c:pt>
                <c:pt idx="13">
                  <c:v>-7.8714852072985515</c:v>
                </c:pt>
                <c:pt idx="14">
                  <c:v>-11.4607782053846</c:v>
                </c:pt>
                <c:pt idx="15">
                  <c:v>19.78359641901173</c:v>
                </c:pt>
                <c:pt idx="16">
                  <c:v>48.63881468267138</c:v>
                </c:pt>
                <c:pt idx="17">
                  <c:v>-161.48022287355684</c:v>
                </c:pt>
                <c:pt idx="18">
                  <c:v>-734.6810773161949</c:v>
                </c:pt>
                <c:pt idx="19">
                  <c:v>-1032.4670584648297</c:v>
                </c:pt>
                <c:pt idx="20">
                  <c:v>-500.46615910346</c:v>
                </c:pt>
                <c:pt idx="21">
                  <c:v>291.3245954918334</c:v>
                </c:pt>
                <c:pt idx="22">
                  <c:v>661.3613336836931</c:v>
                </c:pt>
                <c:pt idx="23">
                  <c:v>561.1454474518027</c:v>
                </c:pt>
                <c:pt idx="24">
                  <c:v>561.1454474518027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Расчеты!$A$309</c:f>
              <c:strCache>
                <c:ptCount val="1"/>
                <c:pt idx="0">
                  <c:v>Wpr val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Расчеты!$B$309:$IV$309</c:f>
              <c:numCache>
                <c:ptCount val="26"/>
                <c:pt idx="0">
                  <c:v>334.38258843955833</c:v>
                </c:pt>
                <c:pt idx="1">
                  <c:v>385.462069198931</c:v>
                </c:pt>
                <c:pt idx="2">
                  <c:v>385.4372237483218</c:v>
                </c:pt>
                <c:pt idx="3">
                  <c:v>346.32612628868986</c:v>
                </c:pt>
                <c:pt idx="4">
                  <c:v>274.2451593288763</c:v>
                </c:pt>
                <c:pt idx="5">
                  <c:v>175.68356633819963</c:v>
                </c:pt>
                <c:pt idx="6">
                  <c:v>63.65095139718288</c:v>
                </c:pt>
                <c:pt idx="7">
                  <c:v>-43.76342843018291</c:v>
                </c:pt>
                <c:pt idx="8">
                  <c:v>-131.43117486958687</c:v>
                </c:pt>
                <c:pt idx="9">
                  <c:v>-194.4306401247115</c:v>
                </c:pt>
                <c:pt idx="10">
                  <c:v>-238.04918965170785</c:v>
                </c:pt>
                <c:pt idx="11">
                  <c:v>-271.4231678109265</c:v>
                </c:pt>
                <c:pt idx="12">
                  <c:v>-299.53777602100877</c:v>
                </c:pt>
                <c:pt idx="13">
                  <c:v>-314.21654436432283</c:v>
                </c:pt>
                <c:pt idx="14">
                  <c:v>-281.6856790386309</c:v>
                </c:pt>
                <c:pt idx="15">
                  <c:v>-143.0968068534578</c:v>
                </c:pt>
                <c:pt idx="16">
                  <c:v>102.605092835542</c:v>
                </c:pt>
                <c:pt idx="17">
                  <c:v>238.24511692358067</c:v>
                </c:pt>
                <c:pt idx="18">
                  <c:v>41.647529566050025</c:v>
                </c:pt>
                <c:pt idx="19">
                  <c:v>-177.6611443166032</c:v>
                </c:pt>
                <c:pt idx="20">
                  <c:v>-177.54253804194093</c:v>
                </c:pt>
                <c:pt idx="21">
                  <c:v>-182.45985576964728</c:v>
                </c:pt>
                <c:pt idx="22">
                  <c:v>-128.66410870610923</c:v>
                </c:pt>
                <c:pt idx="23">
                  <c:v>81.57012254374007</c:v>
                </c:pt>
                <c:pt idx="24">
                  <c:v>629.4654448204303</c:v>
                </c:pt>
              </c:numCache>
            </c:numRef>
          </c:val>
          <c:smooth val="0"/>
        </c:ser>
        <c:marker val="1"/>
        <c:axId val="52724683"/>
        <c:axId val="62089056"/>
      </c:lineChart>
      <c:catAx>
        <c:axId val="52724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9056"/>
        <c:crosses val="autoZero"/>
        <c:auto val="1"/>
        <c:lblOffset val="100"/>
        <c:noMultiLvlLbl val="0"/>
      </c:catAx>
      <c:valAx>
        <c:axId val="6208905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72468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55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Технологические силы в точке К</a:t>
            </a:r>
          </a:p>
        </c:rich>
      </c:tx>
      <c:layout>
        <c:manualLayout>
          <c:xMode val="factor"/>
          <c:yMode val="factor"/>
          <c:x val="0.107"/>
          <c:y val="0.06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0925"/>
          <c:w val="0.9757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Расчеты!$A$206</c:f>
              <c:strCache>
                <c:ptCount val="1"/>
                <c:pt idx="0">
                  <c:v>Qtex_x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val>
            <c:numRef>
              <c:f>Расчеты!$B$206:$IV$206</c:f>
              <c:numCache>
                <c:ptCount val="26"/>
                <c:pt idx="0">
                  <c:v>1.2</c:v>
                </c:pt>
                <c:pt idx="1">
                  <c:v>1.1931851652578136</c:v>
                </c:pt>
                <c:pt idx="2">
                  <c:v>1.1732050807568877</c:v>
                </c:pt>
                <c:pt idx="3">
                  <c:v>1.1414213562373094</c:v>
                </c:pt>
                <c:pt idx="4">
                  <c:v>1.1</c:v>
                </c:pt>
                <c:pt idx="5">
                  <c:v>1.0517638090205041</c:v>
                </c:pt>
                <c:pt idx="6">
                  <c:v>1</c:v>
                </c:pt>
                <c:pt idx="7">
                  <c:v>0.9482361909794959</c:v>
                </c:pt>
                <c:pt idx="8">
                  <c:v>0.9</c:v>
                </c:pt>
                <c:pt idx="9">
                  <c:v>0.8585786437626906</c:v>
                </c:pt>
                <c:pt idx="10">
                  <c:v>0.8267949192431122</c:v>
                </c:pt>
                <c:pt idx="11">
                  <c:v>0.8068148347421864</c:v>
                </c:pt>
                <c:pt idx="12">
                  <c:v>0.8</c:v>
                </c:pt>
                <c:pt idx="13">
                  <c:v>0.8068148347421863</c:v>
                </c:pt>
                <c:pt idx="14">
                  <c:v>0.8267949192431123</c:v>
                </c:pt>
                <c:pt idx="15">
                  <c:v>0.8585786437626904</c:v>
                </c:pt>
                <c:pt idx="16">
                  <c:v>0.8999999999999999</c:v>
                </c:pt>
                <c:pt idx="17">
                  <c:v>0.9482361909794959</c:v>
                </c:pt>
                <c:pt idx="18">
                  <c:v>1</c:v>
                </c:pt>
                <c:pt idx="19">
                  <c:v>1.0517638090205041</c:v>
                </c:pt>
                <c:pt idx="20">
                  <c:v>1.1</c:v>
                </c:pt>
                <c:pt idx="21">
                  <c:v>1.1414213562373094</c:v>
                </c:pt>
                <c:pt idx="22">
                  <c:v>1.1732050807568877</c:v>
                </c:pt>
                <c:pt idx="23">
                  <c:v>1.1931851652578136</c:v>
                </c:pt>
                <c:pt idx="24">
                  <c:v>1.2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Расчеты!$A$207</c:f>
              <c:strCache>
                <c:ptCount val="1"/>
                <c:pt idx="0">
                  <c:v>Qtex_y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Расчеты!$B$207:$IV$207</c:f>
              <c:numCache>
                <c:ptCount val="26"/>
                <c:pt idx="0">
                  <c:v>2</c:v>
                </c:pt>
                <c:pt idx="1">
                  <c:v>2.1294095225512604</c:v>
                </c:pt>
                <c:pt idx="2">
                  <c:v>2.25</c:v>
                </c:pt>
                <c:pt idx="3">
                  <c:v>2.353553390593274</c:v>
                </c:pt>
                <c:pt idx="4">
                  <c:v>2.433012701892219</c:v>
                </c:pt>
                <c:pt idx="5">
                  <c:v>2.4829629131445343</c:v>
                </c:pt>
                <c:pt idx="6">
                  <c:v>2.5</c:v>
                </c:pt>
                <c:pt idx="7">
                  <c:v>2.4829629131445343</c:v>
                </c:pt>
                <c:pt idx="8">
                  <c:v>2.433012701892219</c:v>
                </c:pt>
                <c:pt idx="9">
                  <c:v>2.353553390593274</c:v>
                </c:pt>
                <c:pt idx="10">
                  <c:v>2.25</c:v>
                </c:pt>
                <c:pt idx="11">
                  <c:v>2.1294095225512604</c:v>
                </c:pt>
                <c:pt idx="12">
                  <c:v>2</c:v>
                </c:pt>
                <c:pt idx="13">
                  <c:v>1.8705904774487396</c:v>
                </c:pt>
                <c:pt idx="14">
                  <c:v>1.75</c:v>
                </c:pt>
                <c:pt idx="15">
                  <c:v>1.6464466094067263</c:v>
                </c:pt>
                <c:pt idx="16">
                  <c:v>1.5669872981077808</c:v>
                </c:pt>
                <c:pt idx="17">
                  <c:v>1.517037086855466</c:v>
                </c:pt>
                <c:pt idx="18">
                  <c:v>1.5</c:v>
                </c:pt>
                <c:pt idx="19">
                  <c:v>1.5170370868554657</c:v>
                </c:pt>
                <c:pt idx="20">
                  <c:v>1.5669872981077808</c:v>
                </c:pt>
                <c:pt idx="21">
                  <c:v>1.646446609406726</c:v>
                </c:pt>
                <c:pt idx="22">
                  <c:v>1.7499999999999998</c:v>
                </c:pt>
                <c:pt idx="23">
                  <c:v>1.8705904774487396</c:v>
                </c:pt>
                <c:pt idx="24">
                  <c:v>1.9999999999999998</c:v>
                </c:pt>
              </c:numCache>
            </c:numRef>
          </c:val>
          <c:smooth val="1"/>
        </c:ser>
        <c:marker val="1"/>
        <c:axId val="29336033"/>
        <c:axId val="44667550"/>
      </c:lineChart>
      <c:catAx>
        <c:axId val="2933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67550"/>
        <c:crosses val="autoZero"/>
        <c:auto val="1"/>
        <c:lblOffset val="100"/>
        <c:noMultiLvlLbl val="0"/>
      </c:catAx>
      <c:valAx>
        <c:axId val="44667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3603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25"/>
          <c:y val="0.31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Мощность технологических сил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"/>
          <c:w val="0.97825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Расчеты!$A$208</c:f>
              <c:strCache>
                <c:ptCount val="1"/>
                <c:pt idx="0">
                  <c:v>W(Qtex)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Расчеты!$B$208:$IV$208</c:f>
              <c:numCache>
                <c:ptCount val="26"/>
                <c:pt idx="0">
                  <c:v>12.56758068382229</c:v>
                </c:pt>
                <c:pt idx="1">
                  <c:v>12.04058688023355</c:v>
                </c:pt>
                <c:pt idx="2">
                  <c:v>9.988873450454298</c:v>
                </c:pt>
                <c:pt idx="3">
                  <c:v>6.975851450295725</c:v>
                </c:pt>
                <c:pt idx="4">
                  <c:v>3.662614858655131</c:v>
                </c:pt>
                <c:pt idx="5">
                  <c:v>0.6957982380495913</c:v>
                </c:pt>
                <c:pt idx="6">
                  <c:v>-1.4282135183445002</c:v>
                </c:pt>
                <c:pt idx="7">
                  <c:v>-2.477568554561116</c:v>
                </c:pt>
                <c:pt idx="8">
                  <c:v>-2.5242811235420093</c:v>
                </c:pt>
                <c:pt idx="9">
                  <c:v>-1.8832278727489682</c:v>
                </c:pt>
                <c:pt idx="10">
                  <c:v>-0.9829293076994977</c:v>
                </c:pt>
                <c:pt idx="11">
                  <c:v>-0.2418412664299618</c:v>
                </c:pt>
                <c:pt idx="12">
                  <c:v>-0.00862890928271661</c:v>
                </c:pt>
                <c:pt idx="13">
                  <c:v>-0.5690287773566162</c:v>
                </c:pt>
                <c:pt idx="14">
                  <c:v>-2.1695090309344005</c:v>
                </c:pt>
                <c:pt idx="15">
                  <c:v>-4.96690586090504</c:v>
                </c:pt>
                <c:pt idx="16">
                  <c:v>-8.776375420043545</c:v>
                </c:pt>
                <c:pt idx="17">
                  <c:v>-12.579043467852363</c:v>
                </c:pt>
                <c:pt idx="18">
                  <c:v>-14.282358935264968</c:v>
                </c:pt>
                <c:pt idx="19">
                  <c:v>-11.808160424430724</c:v>
                </c:pt>
                <c:pt idx="20">
                  <c:v>-5.125243977226893</c:v>
                </c:pt>
                <c:pt idx="21">
                  <c:v>3.5151662727247706</c:v>
                </c:pt>
                <c:pt idx="22">
                  <c:v>11.494988211107197</c:v>
                </c:pt>
                <c:pt idx="23">
                  <c:v>17.16826526855737</c:v>
                </c:pt>
                <c:pt idx="24">
                  <c:v>19.857011886125022</c:v>
                </c:pt>
              </c:numCache>
            </c:numRef>
          </c:val>
          <c:smooth val="0"/>
        </c:ser>
        <c:marker val="1"/>
        <c:axId val="40365991"/>
        <c:axId val="46406348"/>
      </c:lineChart>
      <c:catAx>
        <c:axId val="40365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06348"/>
        <c:crosses val="autoZero"/>
        <c:auto val="1"/>
        <c:lblOffset val="100"/>
        <c:noMultiLvlLbl val="0"/>
      </c:catAx>
      <c:valAx>
        <c:axId val="4640634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036599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825"/>
          <c:y val="0.3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Расчеты!$A$278</c:f>
              <c:strCache>
                <c:ptCount val="1"/>
                <c:pt idx="0">
                  <c:v>(Px)A2=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Расчеты!$B$278:$IV$278</c:f>
              <c:numCache/>
            </c:numRef>
          </c:val>
          <c:smooth val="0"/>
        </c:ser>
        <c:ser>
          <c:idx val="1"/>
          <c:order val="1"/>
          <c:tx>
            <c:strRef>
              <c:f>Расчеты!$A$279</c:f>
              <c:strCache>
                <c:ptCount val="1"/>
                <c:pt idx="0">
                  <c:v>(Py)A2=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Расчеты!$B$279:$IV$279</c:f>
              <c:numCache/>
            </c:numRef>
          </c:val>
          <c:smooth val="0"/>
        </c:ser>
        <c:marker val="1"/>
        <c:axId val="7931901"/>
        <c:axId val="14083914"/>
      </c:lineChart>
      <c:catAx>
        <c:axId val="7931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83914"/>
        <c:crosses val="autoZero"/>
        <c:auto val="1"/>
        <c:lblOffset val="100"/>
        <c:noMultiLvlLbl val="0"/>
      </c:catAx>
      <c:valAx>
        <c:axId val="14083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31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Траектория точки 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575"/>
          <c:w val="0.92325"/>
          <c:h val="0.83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Расчеты!$B$34:$IV$34</c:f>
              <c:numCache>
                <c:ptCount val="26"/>
                <c:pt idx="0">
                  <c:v>7.144</c:v>
                </c:pt>
                <c:pt idx="1">
                  <c:v>6.900574103009104</c:v>
                </c:pt>
                <c:pt idx="2">
                  <c:v>6.18688548463603</c:v>
                </c:pt>
                <c:pt idx="3">
                  <c:v>5.051570844796696</c:v>
                </c:pt>
                <c:pt idx="4">
                  <c:v>3.572000000000001</c:v>
                </c:pt>
                <c:pt idx="5">
                  <c:v>1.8490032582124083</c:v>
                </c:pt>
                <c:pt idx="6">
                  <c:v>4.376230280933591E-16</c:v>
                </c:pt>
                <c:pt idx="7">
                  <c:v>-1.849003258212409</c:v>
                </c:pt>
                <c:pt idx="8">
                  <c:v>-3.5719999999999983</c:v>
                </c:pt>
                <c:pt idx="9">
                  <c:v>-5.051570844796695</c:v>
                </c:pt>
                <c:pt idx="10">
                  <c:v>-6.18688548463603</c:v>
                </c:pt>
                <c:pt idx="11">
                  <c:v>-6.900574103009103</c:v>
                </c:pt>
                <c:pt idx="12">
                  <c:v>-7.144</c:v>
                </c:pt>
                <c:pt idx="13">
                  <c:v>-6.900574103009104</c:v>
                </c:pt>
                <c:pt idx="14">
                  <c:v>-6.186885484636029</c:v>
                </c:pt>
                <c:pt idx="15">
                  <c:v>-5.0515708447966965</c:v>
                </c:pt>
                <c:pt idx="16">
                  <c:v>-3.572000000000003</c:v>
                </c:pt>
                <c:pt idx="17">
                  <c:v>-1.8490032582124074</c:v>
                </c:pt>
                <c:pt idx="18">
                  <c:v>-1.3128690842800772E-15</c:v>
                </c:pt>
                <c:pt idx="19">
                  <c:v>1.849003258212405</c:v>
                </c:pt>
                <c:pt idx="20">
                  <c:v>3.572000000000001</c:v>
                </c:pt>
                <c:pt idx="21">
                  <c:v>5.051570844796695</c:v>
                </c:pt>
                <c:pt idx="22">
                  <c:v>6.1868854846360275</c:v>
                </c:pt>
                <c:pt idx="23">
                  <c:v>6.900574103009104</c:v>
                </c:pt>
                <c:pt idx="24">
                  <c:v>7.144</c:v>
                </c:pt>
              </c:numCache>
            </c:numRef>
          </c:xVal>
          <c:yVal>
            <c:numRef>
              <c:f>Расчеты!$B$35:$IV$35</c:f>
              <c:numCache>
                <c:ptCount val="26"/>
                <c:pt idx="0">
                  <c:v>0</c:v>
                </c:pt>
                <c:pt idx="1">
                  <c:v>1.8490032582124083</c:v>
                </c:pt>
                <c:pt idx="2">
                  <c:v>3.5719999999999996</c:v>
                </c:pt>
                <c:pt idx="3">
                  <c:v>5.051570844796695</c:v>
                </c:pt>
                <c:pt idx="4">
                  <c:v>6.186885484636029</c:v>
                </c:pt>
                <c:pt idx="5">
                  <c:v>6.900574103009104</c:v>
                </c:pt>
                <c:pt idx="6">
                  <c:v>7.144</c:v>
                </c:pt>
                <c:pt idx="7">
                  <c:v>6.900574103009104</c:v>
                </c:pt>
                <c:pt idx="8">
                  <c:v>6.18688548463603</c:v>
                </c:pt>
                <c:pt idx="9">
                  <c:v>5.051570844796696</c:v>
                </c:pt>
                <c:pt idx="10">
                  <c:v>3.5719999999999996</c:v>
                </c:pt>
                <c:pt idx="11">
                  <c:v>1.84900325821241</c:v>
                </c:pt>
                <c:pt idx="12">
                  <c:v>8.752460561867182E-16</c:v>
                </c:pt>
                <c:pt idx="13">
                  <c:v>-1.8490032582124085</c:v>
                </c:pt>
                <c:pt idx="14">
                  <c:v>-3.572000000000001</c:v>
                </c:pt>
                <c:pt idx="15">
                  <c:v>-5.051570844796695</c:v>
                </c:pt>
                <c:pt idx="16">
                  <c:v>-6.1868854846360275</c:v>
                </c:pt>
                <c:pt idx="17">
                  <c:v>-6.900574103009104</c:v>
                </c:pt>
                <c:pt idx="18">
                  <c:v>-7.144</c:v>
                </c:pt>
                <c:pt idx="19">
                  <c:v>-6.900574103009105</c:v>
                </c:pt>
                <c:pt idx="20">
                  <c:v>-6.186885484636029</c:v>
                </c:pt>
                <c:pt idx="21">
                  <c:v>-5.0515708447966965</c:v>
                </c:pt>
                <c:pt idx="22">
                  <c:v>-3.572000000000003</c:v>
                </c:pt>
                <c:pt idx="23">
                  <c:v>-1.8490032582124079</c:v>
                </c:pt>
                <c:pt idx="24">
                  <c:v>-1.7504921123734363E-15</c:v>
                </c:pt>
              </c:numCache>
            </c:numRef>
          </c:yVal>
          <c:smooth val="1"/>
        </c:ser>
        <c:axId val="53812387"/>
        <c:axId val="61330136"/>
      </c:scatterChart>
      <c:valAx>
        <c:axId val="5381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0136"/>
        <c:crosses val="autoZero"/>
        <c:crossBetween val="midCat"/>
        <c:dispUnits/>
      </c:valAx>
      <c:valAx>
        <c:axId val="61330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12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Траектория центра масс 1-го звена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425"/>
          <c:w val="0.9235"/>
          <c:h val="0.83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Расчеты!$B$42:$IV$42</c:f>
              <c:numCache>
                <c:ptCount val="26"/>
                <c:pt idx="0">
                  <c:v>7.144</c:v>
                </c:pt>
                <c:pt idx="1">
                  <c:v>6.900574103009104</c:v>
                </c:pt>
                <c:pt idx="2">
                  <c:v>6.18688548463603</c:v>
                </c:pt>
                <c:pt idx="3">
                  <c:v>5.051570844796696</c:v>
                </c:pt>
                <c:pt idx="4">
                  <c:v>3.572000000000001</c:v>
                </c:pt>
                <c:pt idx="5">
                  <c:v>1.8490032582124083</c:v>
                </c:pt>
                <c:pt idx="6">
                  <c:v>4.376230280933591E-16</c:v>
                </c:pt>
                <c:pt idx="7">
                  <c:v>-1.849003258212409</c:v>
                </c:pt>
                <c:pt idx="8">
                  <c:v>-3.5719999999999983</c:v>
                </c:pt>
                <c:pt idx="9">
                  <c:v>-5.051570844796695</c:v>
                </c:pt>
                <c:pt idx="10">
                  <c:v>-6.18688548463603</c:v>
                </c:pt>
                <c:pt idx="11">
                  <c:v>-6.900574103009103</c:v>
                </c:pt>
                <c:pt idx="12">
                  <c:v>-7.144</c:v>
                </c:pt>
                <c:pt idx="13">
                  <c:v>-6.900574103009104</c:v>
                </c:pt>
                <c:pt idx="14">
                  <c:v>-6.186885484636029</c:v>
                </c:pt>
                <c:pt idx="15">
                  <c:v>-5.0515708447966965</c:v>
                </c:pt>
                <c:pt idx="16">
                  <c:v>-3.572000000000003</c:v>
                </c:pt>
                <c:pt idx="17">
                  <c:v>-1.8490032582124074</c:v>
                </c:pt>
                <c:pt idx="18">
                  <c:v>-1.3128690842800772E-15</c:v>
                </c:pt>
                <c:pt idx="19">
                  <c:v>1.849003258212405</c:v>
                </c:pt>
                <c:pt idx="20">
                  <c:v>3.572000000000001</c:v>
                </c:pt>
                <c:pt idx="21">
                  <c:v>5.051570844796695</c:v>
                </c:pt>
                <c:pt idx="22">
                  <c:v>6.1868854846360275</c:v>
                </c:pt>
                <c:pt idx="23">
                  <c:v>6.900574103009104</c:v>
                </c:pt>
                <c:pt idx="24">
                  <c:v>7.144</c:v>
                </c:pt>
              </c:numCache>
            </c:numRef>
          </c:xVal>
          <c:yVal>
            <c:numRef>
              <c:f>Расчеты!$B$43:$IV$43</c:f>
              <c:numCache>
                <c:ptCount val="26"/>
                <c:pt idx="0">
                  <c:v>0</c:v>
                </c:pt>
                <c:pt idx="1">
                  <c:v>1.8490032582124083</c:v>
                </c:pt>
                <c:pt idx="2">
                  <c:v>3.5719999999999996</c:v>
                </c:pt>
                <c:pt idx="3">
                  <c:v>5.051570844796695</c:v>
                </c:pt>
                <c:pt idx="4">
                  <c:v>6.186885484636029</c:v>
                </c:pt>
                <c:pt idx="5">
                  <c:v>6.900574103009104</c:v>
                </c:pt>
                <c:pt idx="6">
                  <c:v>7.144</c:v>
                </c:pt>
                <c:pt idx="7">
                  <c:v>6.900574103009104</c:v>
                </c:pt>
                <c:pt idx="8">
                  <c:v>6.18688548463603</c:v>
                </c:pt>
                <c:pt idx="9">
                  <c:v>5.051570844796696</c:v>
                </c:pt>
                <c:pt idx="10">
                  <c:v>3.5719999999999996</c:v>
                </c:pt>
                <c:pt idx="11">
                  <c:v>1.84900325821241</c:v>
                </c:pt>
                <c:pt idx="12">
                  <c:v>8.752460561867182E-16</c:v>
                </c:pt>
                <c:pt idx="13">
                  <c:v>-1.8490032582124085</c:v>
                </c:pt>
                <c:pt idx="14">
                  <c:v>-3.572000000000001</c:v>
                </c:pt>
                <c:pt idx="15">
                  <c:v>-5.051570844796695</c:v>
                </c:pt>
                <c:pt idx="16">
                  <c:v>-6.1868854846360275</c:v>
                </c:pt>
                <c:pt idx="17">
                  <c:v>-6.900574103009104</c:v>
                </c:pt>
                <c:pt idx="18">
                  <c:v>-7.144</c:v>
                </c:pt>
                <c:pt idx="19">
                  <c:v>-6.900574103009105</c:v>
                </c:pt>
                <c:pt idx="20">
                  <c:v>-6.186885484636029</c:v>
                </c:pt>
                <c:pt idx="21">
                  <c:v>-5.0515708447966965</c:v>
                </c:pt>
                <c:pt idx="22">
                  <c:v>-3.572000000000003</c:v>
                </c:pt>
                <c:pt idx="23">
                  <c:v>-1.8490032582124079</c:v>
                </c:pt>
                <c:pt idx="24">
                  <c:v>-1.7504921123734363E-15</c:v>
                </c:pt>
              </c:numCache>
            </c:numRef>
          </c:yVal>
          <c:smooth val="1"/>
        </c:ser>
        <c:axId val="50150777"/>
        <c:axId val="39298518"/>
      </c:scatterChart>
      <c:valAx>
        <c:axId val="50150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8518"/>
        <c:crosses val="autoZero"/>
        <c:crossBetween val="midCat"/>
        <c:dispUnits/>
      </c:valAx>
      <c:valAx>
        <c:axId val="39298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50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Траектория точки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5725"/>
          <c:w val="0.84375"/>
          <c:h val="0.80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Расчеты!$B$68:$IV$68</c:f>
              <c:numCache>
                <c:ptCount val="26"/>
                <c:pt idx="0">
                  <c:v>27.445248142214666</c:v>
                </c:pt>
                <c:pt idx="1">
                  <c:v>26.94601229073632</c:v>
                </c:pt>
                <c:pt idx="2">
                  <c:v>25.988736964768453</c:v>
                </c:pt>
                <c:pt idx="3">
                  <c:v>24.67740251068998</c:v>
                </c:pt>
                <c:pt idx="4">
                  <c:v>23.117256938902674</c:v>
                </c:pt>
                <c:pt idx="5">
                  <c:v>21.417736686888137</c:v>
                </c:pt>
                <c:pt idx="6">
                  <c:v>19.689262797722588</c:v>
                </c:pt>
                <c:pt idx="7">
                  <c:v>18.035469036312016</c:v>
                </c:pt>
                <c:pt idx="8">
                  <c:v>16.54414517516161</c:v>
                </c:pt>
                <c:pt idx="9">
                  <c:v>15.28064451002192</c:v>
                </c:pt>
                <c:pt idx="10">
                  <c:v>14.286616980405586</c:v>
                </c:pt>
                <c:pt idx="11">
                  <c:v>13.584630623978658</c:v>
                </c:pt>
                <c:pt idx="12">
                  <c:v>13.186793643123599</c:v>
                </c:pt>
                <c:pt idx="13">
                  <c:v>13.104476771604055</c:v>
                </c:pt>
                <c:pt idx="14">
                  <c:v>13.356765894510596</c:v>
                </c:pt>
                <c:pt idx="15">
                  <c:v>13.975876199636582</c:v>
                </c:pt>
                <c:pt idx="16">
                  <c:v>15.006610984900547</c:v>
                </c:pt>
                <c:pt idx="17">
                  <c:v>16.49278542859709</c:v>
                </c:pt>
                <c:pt idx="18">
                  <c:v>18.43808362773677</c:v>
                </c:pt>
                <c:pt idx="19">
                  <c:v>20.73596956967574</c:v>
                </c:pt>
                <c:pt idx="20">
                  <c:v>23.112023507651536</c:v>
                </c:pt>
                <c:pt idx="21">
                  <c:v>25.182551967600215</c:v>
                </c:pt>
                <c:pt idx="22">
                  <c:v>26.640196613199517</c:v>
                </c:pt>
                <c:pt idx="23">
                  <c:v>27.378180402499943</c:v>
                </c:pt>
                <c:pt idx="24">
                  <c:v>27.445248142214666</c:v>
                </c:pt>
              </c:numCache>
            </c:numRef>
          </c:xVal>
          <c:yVal>
            <c:numRef>
              <c:f>Расчеты!$B$69:$IV$69</c:f>
              <c:numCache>
                <c:ptCount val="26"/>
                <c:pt idx="0">
                  <c:v>-2.840479689810456</c:v>
                </c:pt>
                <c:pt idx="1">
                  <c:v>-2.439284146102694</c:v>
                </c:pt>
                <c:pt idx="2">
                  <c:v>-1.7285357237526018</c:v>
                </c:pt>
                <c:pt idx="3">
                  <c:v>-0.8675281087620847</c:v>
                </c:pt>
                <c:pt idx="4">
                  <c:v>0.0069233332731943875</c:v>
                </c:pt>
                <c:pt idx="5">
                  <c:v>0.7953572356546577</c:v>
                </c:pt>
                <c:pt idx="6">
                  <c:v>1.4394464256861021</c:v>
                </c:pt>
                <c:pt idx="7">
                  <c:v>1.9189315457504197</c:v>
                </c:pt>
                <c:pt idx="8">
                  <c:v>2.2435741487379173</c:v>
                </c:pt>
                <c:pt idx="9">
                  <c:v>2.441969387623929</c:v>
                </c:pt>
                <c:pt idx="10">
                  <c:v>2.5498953997094715</c:v>
                </c:pt>
                <c:pt idx="11">
                  <c:v>2.6009263216959986</c:v>
                </c:pt>
                <c:pt idx="12">
                  <c:v>2.6206546588067083</c:v>
                </c:pt>
                <c:pt idx="13">
                  <c:v>2.6239086014310984</c:v>
                </c:pt>
                <c:pt idx="14">
                  <c:v>2.6130377339495925</c:v>
                </c:pt>
                <c:pt idx="15">
                  <c:v>2.575044392075264</c:v>
                </c:pt>
                <c:pt idx="16">
                  <c:v>2.475920923897683</c:v>
                </c:pt>
                <c:pt idx="17">
                  <c:v>2.2529928939832318</c:v>
                </c:pt>
                <c:pt idx="18">
                  <c:v>1.814017254760424</c:v>
                </c:pt>
                <c:pt idx="19">
                  <c:v>1.0675815524515295</c:v>
                </c:pt>
                <c:pt idx="20">
                  <c:v>0.009604031245165956</c:v>
                </c:pt>
                <c:pt idx="21">
                  <c:v>-1.184711649877852</c:v>
                </c:pt>
                <c:pt idx="22">
                  <c:v>-2.2041312642723314</c:v>
                </c:pt>
                <c:pt idx="23">
                  <c:v>-2.785294475224115</c:v>
                </c:pt>
                <c:pt idx="24">
                  <c:v>-2.840479689810458</c:v>
                </c:pt>
              </c:numCache>
            </c:numRef>
          </c:yVal>
          <c:smooth val="1"/>
        </c:ser>
        <c:axId val="48399359"/>
        <c:axId val="66679748"/>
      </c:scatterChart>
      <c:valAx>
        <c:axId val="48399359"/>
        <c:scaling>
          <c:orientation val="minMax"/>
          <c:min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66679748"/>
        <c:crosses val="autoZero"/>
        <c:crossBetween val="midCat"/>
        <c:dispUnits/>
      </c:valAx>
      <c:valAx>
        <c:axId val="66679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99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Relationship Id="rId10" Type="http://schemas.openxmlformats.org/officeDocument/2006/relationships/chart" Target="/xl/charts/chart31.xml" /><Relationship Id="rId11" Type="http://schemas.openxmlformats.org/officeDocument/2006/relationships/chart" Target="/xl/charts/chart32.xml" /><Relationship Id="rId12" Type="http://schemas.openxmlformats.org/officeDocument/2006/relationships/chart" Target="/xl/charts/chart33.xml" /><Relationship Id="rId13" Type="http://schemas.openxmlformats.org/officeDocument/2006/relationships/chart" Target="/xl/charts/chart34.xml" /><Relationship Id="rId14" Type="http://schemas.openxmlformats.org/officeDocument/2006/relationships/chart" Target="/xl/charts/chart35.xml" /><Relationship Id="rId15" Type="http://schemas.openxmlformats.org/officeDocument/2006/relationships/chart" Target="/xl/charts/chart36.xml" /><Relationship Id="rId16" Type="http://schemas.openxmlformats.org/officeDocument/2006/relationships/chart" Target="/xl/charts/chart37.xml" /><Relationship Id="rId17" Type="http://schemas.openxmlformats.org/officeDocument/2006/relationships/chart" Target="/xl/charts/chart38.xml" /><Relationship Id="rId18" Type="http://schemas.openxmlformats.org/officeDocument/2006/relationships/chart" Target="/xl/charts/chart39.xml" /><Relationship Id="rId19" Type="http://schemas.openxmlformats.org/officeDocument/2006/relationships/chart" Target="/xl/charts/chart40.xml" /><Relationship Id="rId20" Type="http://schemas.openxmlformats.org/officeDocument/2006/relationships/chart" Target="/xl/charts/chart41.xml" /><Relationship Id="rId21" Type="http://schemas.openxmlformats.org/officeDocument/2006/relationships/chart" Target="/xl/charts/chart42.xml" /><Relationship Id="rId22" Type="http://schemas.openxmlformats.org/officeDocument/2006/relationships/chart" Target="/xl/charts/chart43.xml" /><Relationship Id="rId23" Type="http://schemas.openxmlformats.org/officeDocument/2006/relationships/chart" Target="/xl/charts/chart44.xml" /><Relationship Id="rId24" Type="http://schemas.openxmlformats.org/officeDocument/2006/relationships/chart" Target="/xl/charts/chart45.xml" /><Relationship Id="rId25" Type="http://schemas.openxmlformats.org/officeDocument/2006/relationships/chart" Target="/xl/charts/chart46.xml" /><Relationship Id="rId26" Type="http://schemas.openxmlformats.org/officeDocument/2006/relationships/chart" Target="/xl/charts/chart47.xml" /><Relationship Id="rId27" Type="http://schemas.openxmlformats.org/officeDocument/2006/relationships/chart" Target="/xl/charts/chart48.xml" /><Relationship Id="rId28" Type="http://schemas.openxmlformats.org/officeDocument/2006/relationships/chart" Target="/xl/charts/chart49.xml" /><Relationship Id="rId29" Type="http://schemas.openxmlformats.org/officeDocument/2006/relationships/chart" Target="/xl/charts/chart50.xml" /><Relationship Id="rId30" Type="http://schemas.openxmlformats.org/officeDocument/2006/relationships/chart" Target="/xl/charts/chart51.xml" /><Relationship Id="rId31" Type="http://schemas.openxmlformats.org/officeDocument/2006/relationships/chart" Target="/xl/charts/chart52.xml" /><Relationship Id="rId32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3</xdr:row>
      <xdr:rowOff>0</xdr:rowOff>
    </xdr:from>
    <xdr:to>
      <xdr:col>6</xdr:col>
      <xdr:colOff>438150</xdr:colOff>
      <xdr:row>23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85775"/>
          <a:ext cx="320992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0</xdr:rowOff>
    </xdr:from>
    <xdr:to>
      <xdr:col>11</xdr:col>
      <xdr:colOff>66675</xdr:colOff>
      <xdr:row>19</xdr:row>
      <xdr:rowOff>152400</xdr:rowOff>
    </xdr:to>
    <xdr:pic>
      <xdr:nvPicPr>
        <xdr:cNvPr id="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0"/>
          <a:ext cx="31337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179</xdr:row>
      <xdr:rowOff>104775</xdr:rowOff>
    </xdr:from>
    <xdr:to>
      <xdr:col>13</xdr:col>
      <xdr:colOff>342900</xdr:colOff>
      <xdr:row>199</xdr:row>
      <xdr:rowOff>133350</xdr:rowOff>
    </xdr:to>
    <xdr:graphicFrame>
      <xdr:nvGraphicFramePr>
        <xdr:cNvPr id="2" name="Chart 474"/>
        <xdr:cNvGraphicFramePr/>
      </xdr:nvGraphicFramePr>
      <xdr:xfrm>
        <a:off x="4095750" y="30889575"/>
        <a:ext cx="43529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296</xdr:row>
      <xdr:rowOff>133350</xdr:rowOff>
    </xdr:from>
    <xdr:to>
      <xdr:col>14</xdr:col>
      <xdr:colOff>400050</xdr:colOff>
      <xdr:row>315</xdr:row>
      <xdr:rowOff>76200</xdr:rowOff>
    </xdr:to>
    <xdr:graphicFrame>
      <xdr:nvGraphicFramePr>
        <xdr:cNvPr id="3" name="Chart 475"/>
        <xdr:cNvGraphicFramePr/>
      </xdr:nvGraphicFramePr>
      <xdr:xfrm>
        <a:off x="4181475" y="50853975"/>
        <a:ext cx="49053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296</xdr:row>
      <xdr:rowOff>104775</xdr:rowOff>
    </xdr:from>
    <xdr:to>
      <xdr:col>6</xdr:col>
      <xdr:colOff>133350</xdr:colOff>
      <xdr:row>314</xdr:row>
      <xdr:rowOff>66675</xdr:rowOff>
    </xdr:to>
    <xdr:graphicFrame>
      <xdr:nvGraphicFramePr>
        <xdr:cNvPr id="4" name="Chart 476"/>
        <xdr:cNvGraphicFramePr/>
      </xdr:nvGraphicFramePr>
      <xdr:xfrm>
        <a:off x="161925" y="50825400"/>
        <a:ext cx="381952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123825</xdr:colOff>
      <xdr:row>297</xdr:row>
      <xdr:rowOff>76200</xdr:rowOff>
    </xdr:from>
    <xdr:to>
      <xdr:col>25</xdr:col>
      <xdr:colOff>161925</xdr:colOff>
      <xdr:row>314</xdr:row>
      <xdr:rowOff>57150</xdr:rowOff>
    </xdr:to>
    <xdr:graphicFrame>
      <xdr:nvGraphicFramePr>
        <xdr:cNvPr id="5" name="Chart 479"/>
        <xdr:cNvGraphicFramePr/>
      </xdr:nvGraphicFramePr>
      <xdr:xfrm>
        <a:off x="9391650" y="50968275"/>
        <a:ext cx="58483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438150</xdr:colOff>
      <xdr:row>266</xdr:row>
      <xdr:rowOff>28575</xdr:rowOff>
    </xdr:from>
    <xdr:to>
      <xdr:col>14</xdr:col>
      <xdr:colOff>352425</xdr:colOff>
      <xdr:row>278</xdr:row>
      <xdr:rowOff>66675</xdr:rowOff>
    </xdr:to>
    <xdr:graphicFrame>
      <xdr:nvGraphicFramePr>
        <xdr:cNvPr id="6" name="Chart 480"/>
        <xdr:cNvGraphicFramePr/>
      </xdr:nvGraphicFramePr>
      <xdr:xfrm>
        <a:off x="3019425" y="45605700"/>
        <a:ext cx="601980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504825</xdr:colOff>
      <xdr:row>7</xdr:row>
      <xdr:rowOff>104775</xdr:rowOff>
    </xdr:from>
    <xdr:to>
      <xdr:col>23</xdr:col>
      <xdr:colOff>142875</xdr:colOff>
      <xdr:row>25</xdr:row>
      <xdr:rowOff>114300</xdr:rowOff>
    </xdr:to>
    <xdr:graphicFrame>
      <xdr:nvGraphicFramePr>
        <xdr:cNvPr id="7" name="Chart 482"/>
        <xdr:cNvGraphicFramePr/>
      </xdr:nvGraphicFramePr>
      <xdr:xfrm>
        <a:off x="8029575" y="1304925"/>
        <a:ext cx="6029325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190500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38100"/>
        <a:ext cx="2600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0</xdr:row>
      <xdr:rowOff>38100</xdr:rowOff>
    </xdr:from>
    <xdr:to>
      <xdr:col>8</xdr:col>
      <xdr:colOff>400050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667000" y="38100"/>
        <a:ext cx="2609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95250</xdr:rowOff>
    </xdr:from>
    <xdr:to>
      <xdr:col>4</xdr:col>
      <xdr:colOff>190500</xdr:colOff>
      <xdr:row>32</xdr:row>
      <xdr:rowOff>123825</xdr:rowOff>
    </xdr:to>
    <xdr:graphicFrame>
      <xdr:nvGraphicFramePr>
        <xdr:cNvPr id="3" name="Chart 4"/>
        <xdr:cNvGraphicFramePr/>
      </xdr:nvGraphicFramePr>
      <xdr:xfrm>
        <a:off x="28575" y="2686050"/>
        <a:ext cx="2600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33</xdr:row>
      <xdr:rowOff>0</xdr:rowOff>
    </xdr:from>
    <xdr:to>
      <xdr:col>4</xdr:col>
      <xdr:colOff>171450</xdr:colOff>
      <xdr:row>49</xdr:row>
      <xdr:rowOff>28575</xdr:rowOff>
    </xdr:to>
    <xdr:graphicFrame>
      <xdr:nvGraphicFramePr>
        <xdr:cNvPr id="4" name="Chart 5"/>
        <xdr:cNvGraphicFramePr/>
      </xdr:nvGraphicFramePr>
      <xdr:xfrm>
        <a:off x="28575" y="5343525"/>
        <a:ext cx="25812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238125</xdr:colOff>
      <xdr:row>16</xdr:row>
      <xdr:rowOff>104775</xdr:rowOff>
    </xdr:from>
    <xdr:to>
      <xdr:col>8</xdr:col>
      <xdr:colOff>419100</xdr:colOff>
      <xdr:row>32</xdr:row>
      <xdr:rowOff>133350</xdr:rowOff>
    </xdr:to>
    <xdr:graphicFrame>
      <xdr:nvGraphicFramePr>
        <xdr:cNvPr id="5" name="Chart 7"/>
        <xdr:cNvGraphicFramePr/>
      </xdr:nvGraphicFramePr>
      <xdr:xfrm>
        <a:off x="2676525" y="2695575"/>
        <a:ext cx="26193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49</xdr:row>
      <xdr:rowOff>76200</xdr:rowOff>
    </xdr:from>
    <xdr:to>
      <xdr:col>4</xdr:col>
      <xdr:colOff>190500</xdr:colOff>
      <xdr:row>65</xdr:row>
      <xdr:rowOff>104775</xdr:rowOff>
    </xdr:to>
    <xdr:graphicFrame>
      <xdr:nvGraphicFramePr>
        <xdr:cNvPr id="6" name="Chart 8"/>
        <xdr:cNvGraphicFramePr/>
      </xdr:nvGraphicFramePr>
      <xdr:xfrm>
        <a:off x="66675" y="8010525"/>
        <a:ext cx="25622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285750</xdr:colOff>
      <xdr:row>33</xdr:row>
      <xdr:rowOff>76200</xdr:rowOff>
    </xdr:from>
    <xdr:to>
      <xdr:col>8</xdr:col>
      <xdr:colOff>447675</xdr:colOff>
      <xdr:row>48</xdr:row>
      <xdr:rowOff>104775</xdr:rowOff>
    </xdr:to>
    <xdr:graphicFrame>
      <xdr:nvGraphicFramePr>
        <xdr:cNvPr id="7" name="Chart 9"/>
        <xdr:cNvGraphicFramePr/>
      </xdr:nvGraphicFramePr>
      <xdr:xfrm>
        <a:off x="2724150" y="5419725"/>
        <a:ext cx="260032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28575</xdr:colOff>
      <xdr:row>0</xdr:row>
      <xdr:rowOff>133350</xdr:rowOff>
    </xdr:from>
    <xdr:to>
      <xdr:col>13</xdr:col>
      <xdr:colOff>504825</xdr:colOff>
      <xdr:row>15</xdr:row>
      <xdr:rowOff>152400</xdr:rowOff>
    </xdr:to>
    <xdr:graphicFrame>
      <xdr:nvGraphicFramePr>
        <xdr:cNvPr id="8" name="Chart 10"/>
        <xdr:cNvGraphicFramePr/>
      </xdr:nvGraphicFramePr>
      <xdr:xfrm>
        <a:off x="5514975" y="133350"/>
        <a:ext cx="2914650" cy="2447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47625</xdr:colOff>
      <xdr:row>0</xdr:row>
      <xdr:rowOff>123825</xdr:rowOff>
    </xdr:from>
    <xdr:to>
      <xdr:col>18</xdr:col>
      <xdr:colOff>371475</xdr:colOff>
      <xdr:row>16</xdr:row>
      <xdr:rowOff>9525</xdr:rowOff>
    </xdr:to>
    <xdr:graphicFrame>
      <xdr:nvGraphicFramePr>
        <xdr:cNvPr id="9" name="Chart 11"/>
        <xdr:cNvGraphicFramePr/>
      </xdr:nvGraphicFramePr>
      <xdr:xfrm>
        <a:off x="8582025" y="123825"/>
        <a:ext cx="276225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600075</xdr:colOff>
      <xdr:row>16</xdr:row>
      <xdr:rowOff>133350</xdr:rowOff>
    </xdr:from>
    <xdr:to>
      <xdr:col>13</xdr:col>
      <xdr:colOff>466725</xdr:colOff>
      <xdr:row>32</xdr:row>
      <xdr:rowOff>95250</xdr:rowOff>
    </xdr:to>
    <xdr:graphicFrame>
      <xdr:nvGraphicFramePr>
        <xdr:cNvPr id="10" name="Chart 12"/>
        <xdr:cNvGraphicFramePr/>
      </xdr:nvGraphicFramePr>
      <xdr:xfrm>
        <a:off x="5476875" y="2724150"/>
        <a:ext cx="2914650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9525</xdr:colOff>
      <xdr:row>16</xdr:row>
      <xdr:rowOff>85725</xdr:rowOff>
    </xdr:from>
    <xdr:to>
      <xdr:col>18</xdr:col>
      <xdr:colOff>495300</xdr:colOff>
      <xdr:row>32</xdr:row>
      <xdr:rowOff>76200</xdr:rowOff>
    </xdr:to>
    <xdr:graphicFrame>
      <xdr:nvGraphicFramePr>
        <xdr:cNvPr id="11" name="Chart 13"/>
        <xdr:cNvGraphicFramePr/>
      </xdr:nvGraphicFramePr>
      <xdr:xfrm>
        <a:off x="8543925" y="2676525"/>
        <a:ext cx="2924175" cy="2581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571500</xdr:colOff>
      <xdr:row>33</xdr:row>
      <xdr:rowOff>66675</xdr:rowOff>
    </xdr:from>
    <xdr:to>
      <xdr:col>13</xdr:col>
      <xdr:colOff>514350</xdr:colOff>
      <xdr:row>48</xdr:row>
      <xdr:rowOff>152400</xdr:rowOff>
    </xdr:to>
    <xdr:graphicFrame>
      <xdr:nvGraphicFramePr>
        <xdr:cNvPr id="12" name="Chart 14"/>
        <xdr:cNvGraphicFramePr/>
      </xdr:nvGraphicFramePr>
      <xdr:xfrm>
        <a:off x="5448300" y="5410200"/>
        <a:ext cx="2990850" cy="2514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47625</xdr:colOff>
      <xdr:row>33</xdr:row>
      <xdr:rowOff>9525</xdr:rowOff>
    </xdr:from>
    <xdr:to>
      <xdr:col>18</xdr:col>
      <xdr:colOff>590550</xdr:colOff>
      <xdr:row>48</xdr:row>
      <xdr:rowOff>85725</xdr:rowOff>
    </xdr:to>
    <xdr:graphicFrame>
      <xdr:nvGraphicFramePr>
        <xdr:cNvPr id="13" name="Chart 15"/>
        <xdr:cNvGraphicFramePr/>
      </xdr:nvGraphicFramePr>
      <xdr:xfrm>
        <a:off x="8582025" y="5353050"/>
        <a:ext cx="2981325" cy="2505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266700</xdr:colOff>
      <xdr:row>49</xdr:row>
      <xdr:rowOff>95250</xdr:rowOff>
    </xdr:from>
    <xdr:to>
      <xdr:col>18</xdr:col>
      <xdr:colOff>285750</xdr:colOff>
      <xdr:row>66</xdr:row>
      <xdr:rowOff>76200</xdr:rowOff>
    </xdr:to>
    <xdr:graphicFrame>
      <xdr:nvGraphicFramePr>
        <xdr:cNvPr id="14" name="Chart 16"/>
        <xdr:cNvGraphicFramePr/>
      </xdr:nvGraphicFramePr>
      <xdr:xfrm>
        <a:off x="6972300" y="8029575"/>
        <a:ext cx="4286250" cy="2733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476250</xdr:colOff>
      <xdr:row>50</xdr:row>
      <xdr:rowOff>38100</xdr:rowOff>
    </xdr:from>
    <xdr:to>
      <xdr:col>11</xdr:col>
      <xdr:colOff>0</xdr:colOff>
      <xdr:row>67</xdr:row>
      <xdr:rowOff>133350</xdr:rowOff>
    </xdr:to>
    <xdr:graphicFrame>
      <xdr:nvGraphicFramePr>
        <xdr:cNvPr id="15" name="Chart 17"/>
        <xdr:cNvGraphicFramePr/>
      </xdr:nvGraphicFramePr>
      <xdr:xfrm>
        <a:off x="2914650" y="8134350"/>
        <a:ext cx="3790950" cy="2847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0.57125</cdr:x>
      <cdr:y>0.5745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3049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Psi 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438150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28575" y="190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0</xdr:row>
      <xdr:rowOff>19050</xdr:rowOff>
    </xdr:from>
    <xdr:to>
      <xdr:col>15</xdr:col>
      <xdr:colOff>266700</xdr:colOff>
      <xdr:row>16</xdr:row>
      <xdr:rowOff>47625</xdr:rowOff>
    </xdr:to>
    <xdr:graphicFrame>
      <xdr:nvGraphicFramePr>
        <xdr:cNvPr id="2" name="Chart 2"/>
        <xdr:cNvGraphicFramePr/>
      </xdr:nvGraphicFramePr>
      <xdr:xfrm>
        <a:off x="4733925" y="1905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57150</xdr:rowOff>
    </xdr:from>
    <xdr:to>
      <xdr:col>7</xdr:col>
      <xdr:colOff>438150</xdr:colOff>
      <xdr:row>32</xdr:row>
      <xdr:rowOff>85725</xdr:rowOff>
    </xdr:to>
    <xdr:graphicFrame>
      <xdr:nvGraphicFramePr>
        <xdr:cNvPr id="3" name="Chart 3"/>
        <xdr:cNvGraphicFramePr/>
      </xdr:nvGraphicFramePr>
      <xdr:xfrm>
        <a:off x="28575" y="2647950"/>
        <a:ext cx="46767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466725</xdr:colOff>
      <xdr:row>16</xdr:row>
      <xdr:rowOff>57150</xdr:rowOff>
    </xdr:from>
    <xdr:to>
      <xdr:col>15</xdr:col>
      <xdr:colOff>266700</xdr:colOff>
      <xdr:row>32</xdr:row>
      <xdr:rowOff>85725</xdr:rowOff>
    </xdr:to>
    <xdr:graphicFrame>
      <xdr:nvGraphicFramePr>
        <xdr:cNvPr id="4" name="Chart 4"/>
        <xdr:cNvGraphicFramePr/>
      </xdr:nvGraphicFramePr>
      <xdr:xfrm>
        <a:off x="4733925" y="2647950"/>
        <a:ext cx="467677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32</xdr:row>
      <xdr:rowOff>114300</xdr:rowOff>
    </xdr:from>
    <xdr:to>
      <xdr:col>7</xdr:col>
      <xdr:colOff>438150</xdr:colOff>
      <xdr:row>48</xdr:row>
      <xdr:rowOff>142875</xdr:rowOff>
    </xdr:to>
    <xdr:graphicFrame>
      <xdr:nvGraphicFramePr>
        <xdr:cNvPr id="5" name="Chart 5"/>
        <xdr:cNvGraphicFramePr/>
      </xdr:nvGraphicFramePr>
      <xdr:xfrm>
        <a:off x="28575" y="5314950"/>
        <a:ext cx="467677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485775</xdr:colOff>
      <xdr:row>32</xdr:row>
      <xdr:rowOff>114300</xdr:rowOff>
    </xdr:from>
    <xdr:to>
      <xdr:col>15</xdr:col>
      <xdr:colOff>285750</xdr:colOff>
      <xdr:row>48</xdr:row>
      <xdr:rowOff>142875</xdr:rowOff>
    </xdr:to>
    <xdr:graphicFrame>
      <xdr:nvGraphicFramePr>
        <xdr:cNvPr id="6" name="Chart 6"/>
        <xdr:cNvGraphicFramePr/>
      </xdr:nvGraphicFramePr>
      <xdr:xfrm>
        <a:off x="4752975" y="5314950"/>
        <a:ext cx="4676775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49</xdr:row>
      <xdr:rowOff>9525</xdr:rowOff>
    </xdr:from>
    <xdr:to>
      <xdr:col>7</xdr:col>
      <xdr:colOff>438150</xdr:colOff>
      <xdr:row>65</xdr:row>
      <xdr:rowOff>38100</xdr:rowOff>
    </xdr:to>
    <xdr:graphicFrame>
      <xdr:nvGraphicFramePr>
        <xdr:cNvPr id="7" name="Chart 7"/>
        <xdr:cNvGraphicFramePr/>
      </xdr:nvGraphicFramePr>
      <xdr:xfrm>
        <a:off x="28575" y="8010525"/>
        <a:ext cx="46767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485775</xdr:colOff>
      <xdr:row>49</xdr:row>
      <xdr:rowOff>19050</xdr:rowOff>
    </xdr:from>
    <xdr:to>
      <xdr:col>15</xdr:col>
      <xdr:colOff>285750</xdr:colOff>
      <xdr:row>65</xdr:row>
      <xdr:rowOff>47625</xdr:rowOff>
    </xdr:to>
    <xdr:graphicFrame>
      <xdr:nvGraphicFramePr>
        <xdr:cNvPr id="8" name="Chart 8"/>
        <xdr:cNvGraphicFramePr/>
      </xdr:nvGraphicFramePr>
      <xdr:xfrm>
        <a:off x="4752975" y="8020050"/>
        <a:ext cx="467677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65</xdr:row>
      <xdr:rowOff>85725</xdr:rowOff>
    </xdr:from>
    <xdr:to>
      <xdr:col>7</xdr:col>
      <xdr:colOff>438150</xdr:colOff>
      <xdr:row>81</xdr:row>
      <xdr:rowOff>114300</xdr:rowOff>
    </xdr:to>
    <xdr:graphicFrame>
      <xdr:nvGraphicFramePr>
        <xdr:cNvPr id="9" name="Chart 9"/>
        <xdr:cNvGraphicFramePr/>
      </xdr:nvGraphicFramePr>
      <xdr:xfrm>
        <a:off x="28575" y="10687050"/>
        <a:ext cx="4676775" cy="2657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485775</xdr:colOff>
      <xdr:row>65</xdr:row>
      <xdr:rowOff>85725</xdr:rowOff>
    </xdr:from>
    <xdr:to>
      <xdr:col>15</xdr:col>
      <xdr:colOff>285750</xdr:colOff>
      <xdr:row>81</xdr:row>
      <xdr:rowOff>114300</xdr:rowOff>
    </xdr:to>
    <xdr:graphicFrame>
      <xdr:nvGraphicFramePr>
        <xdr:cNvPr id="10" name="Chart 10"/>
        <xdr:cNvGraphicFramePr/>
      </xdr:nvGraphicFramePr>
      <xdr:xfrm>
        <a:off x="4752975" y="10687050"/>
        <a:ext cx="4676775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82</xdr:row>
      <xdr:rowOff>0</xdr:rowOff>
    </xdr:from>
    <xdr:to>
      <xdr:col>7</xdr:col>
      <xdr:colOff>438150</xdr:colOff>
      <xdr:row>96</xdr:row>
      <xdr:rowOff>85725</xdr:rowOff>
    </xdr:to>
    <xdr:graphicFrame>
      <xdr:nvGraphicFramePr>
        <xdr:cNvPr id="11" name="Chart 11"/>
        <xdr:cNvGraphicFramePr/>
      </xdr:nvGraphicFramePr>
      <xdr:xfrm>
        <a:off x="28575" y="13392150"/>
        <a:ext cx="4676775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504825</xdr:colOff>
      <xdr:row>81</xdr:row>
      <xdr:rowOff>142875</xdr:rowOff>
    </xdr:from>
    <xdr:to>
      <xdr:col>15</xdr:col>
      <xdr:colOff>304800</xdr:colOff>
      <xdr:row>96</xdr:row>
      <xdr:rowOff>85725</xdr:rowOff>
    </xdr:to>
    <xdr:graphicFrame>
      <xdr:nvGraphicFramePr>
        <xdr:cNvPr id="12" name="Chart 12"/>
        <xdr:cNvGraphicFramePr/>
      </xdr:nvGraphicFramePr>
      <xdr:xfrm>
        <a:off x="4772025" y="13373100"/>
        <a:ext cx="467677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104775</xdr:colOff>
      <xdr:row>99</xdr:row>
      <xdr:rowOff>47625</xdr:rowOff>
    </xdr:from>
    <xdr:to>
      <xdr:col>7</xdr:col>
      <xdr:colOff>342900</xdr:colOff>
      <xdr:row>117</xdr:row>
      <xdr:rowOff>76200</xdr:rowOff>
    </xdr:to>
    <xdr:graphicFrame>
      <xdr:nvGraphicFramePr>
        <xdr:cNvPr id="13" name="Chart 17"/>
        <xdr:cNvGraphicFramePr/>
      </xdr:nvGraphicFramePr>
      <xdr:xfrm>
        <a:off x="104775" y="22040850"/>
        <a:ext cx="4505325" cy="2990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142875</xdr:colOff>
      <xdr:row>156</xdr:row>
      <xdr:rowOff>9525</xdr:rowOff>
    </xdr:from>
    <xdr:to>
      <xdr:col>15</xdr:col>
      <xdr:colOff>333375</xdr:colOff>
      <xdr:row>177</xdr:row>
      <xdr:rowOff>123825</xdr:rowOff>
    </xdr:to>
    <xdr:graphicFrame>
      <xdr:nvGraphicFramePr>
        <xdr:cNvPr id="14" name="Chart 19"/>
        <xdr:cNvGraphicFramePr/>
      </xdr:nvGraphicFramePr>
      <xdr:xfrm>
        <a:off x="5019675" y="31375350"/>
        <a:ext cx="4457700" cy="3571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295275</xdr:colOff>
      <xdr:row>178</xdr:row>
      <xdr:rowOff>38100</xdr:rowOff>
    </xdr:from>
    <xdr:to>
      <xdr:col>15</xdr:col>
      <xdr:colOff>95250</xdr:colOff>
      <xdr:row>200</xdr:row>
      <xdr:rowOff>66675</xdr:rowOff>
    </xdr:to>
    <xdr:graphicFrame>
      <xdr:nvGraphicFramePr>
        <xdr:cNvPr id="15" name="Chart 20"/>
        <xdr:cNvGraphicFramePr/>
      </xdr:nvGraphicFramePr>
      <xdr:xfrm>
        <a:off x="5172075" y="35023425"/>
        <a:ext cx="4067175" cy="3638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257175</xdr:colOff>
      <xdr:row>177</xdr:row>
      <xdr:rowOff>133350</xdr:rowOff>
    </xdr:from>
    <xdr:to>
      <xdr:col>7</xdr:col>
      <xdr:colOff>333375</xdr:colOff>
      <xdr:row>200</xdr:row>
      <xdr:rowOff>76200</xdr:rowOff>
    </xdr:to>
    <xdr:graphicFrame>
      <xdr:nvGraphicFramePr>
        <xdr:cNvPr id="16" name="Chart 21"/>
        <xdr:cNvGraphicFramePr/>
      </xdr:nvGraphicFramePr>
      <xdr:xfrm>
        <a:off x="257175" y="34956750"/>
        <a:ext cx="43434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447675</xdr:colOff>
      <xdr:row>201</xdr:row>
      <xdr:rowOff>104775</xdr:rowOff>
    </xdr:from>
    <xdr:to>
      <xdr:col>7</xdr:col>
      <xdr:colOff>438150</xdr:colOff>
      <xdr:row>223</xdr:row>
      <xdr:rowOff>133350</xdr:rowOff>
    </xdr:to>
    <xdr:graphicFrame>
      <xdr:nvGraphicFramePr>
        <xdr:cNvPr id="17" name="Chart 22"/>
        <xdr:cNvGraphicFramePr/>
      </xdr:nvGraphicFramePr>
      <xdr:xfrm>
        <a:off x="447675" y="38862000"/>
        <a:ext cx="4257675" cy="3590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66675</xdr:colOff>
      <xdr:row>201</xdr:row>
      <xdr:rowOff>133350</xdr:rowOff>
    </xdr:from>
    <xdr:to>
      <xdr:col>15</xdr:col>
      <xdr:colOff>276225</xdr:colOff>
      <xdr:row>223</xdr:row>
      <xdr:rowOff>114300</xdr:rowOff>
    </xdr:to>
    <xdr:graphicFrame>
      <xdr:nvGraphicFramePr>
        <xdr:cNvPr id="18" name="Chart 23"/>
        <xdr:cNvGraphicFramePr/>
      </xdr:nvGraphicFramePr>
      <xdr:xfrm>
        <a:off x="5553075" y="38890575"/>
        <a:ext cx="3867150" cy="3543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219075</xdr:colOff>
      <xdr:row>247</xdr:row>
      <xdr:rowOff>142875</xdr:rowOff>
    </xdr:from>
    <xdr:to>
      <xdr:col>7</xdr:col>
      <xdr:colOff>438150</xdr:colOff>
      <xdr:row>269</xdr:row>
      <xdr:rowOff>19050</xdr:rowOff>
    </xdr:to>
    <xdr:graphicFrame>
      <xdr:nvGraphicFramePr>
        <xdr:cNvPr id="19" name="Chart 24"/>
        <xdr:cNvGraphicFramePr/>
      </xdr:nvGraphicFramePr>
      <xdr:xfrm>
        <a:off x="219075" y="46348650"/>
        <a:ext cx="4486275" cy="3438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209550</xdr:colOff>
      <xdr:row>118</xdr:row>
      <xdr:rowOff>19050</xdr:rowOff>
    </xdr:from>
    <xdr:to>
      <xdr:col>7</xdr:col>
      <xdr:colOff>285750</xdr:colOff>
      <xdr:row>136</xdr:row>
      <xdr:rowOff>76200</xdr:rowOff>
    </xdr:to>
    <xdr:graphicFrame>
      <xdr:nvGraphicFramePr>
        <xdr:cNvPr id="20" name="Chart 25"/>
        <xdr:cNvGraphicFramePr/>
      </xdr:nvGraphicFramePr>
      <xdr:xfrm>
        <a:off x="209550" y="25136475"/>
        <a:ext cx="4343400" cy="3009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533400</xdr:colOff>
      <xdr:row>99</xdr:row>
      <xdr:rowOff>38100</xdr:rowOff>
    </xdr:from>
    <xdr:to>
      <xdr:col>15</xdr:col>
      <xdr:colOff>314325</xdr:colOff>
      <xdr:row>116</xdr:row>
      <xdr:rowOff>38100</xdr:rowOff>
    </xdr:to>
    <xdr:graphicFrame>
      <xdr:nvGraphicFramePr>
        <xdr:cNvPr id="21" name="Chart 28"/>
        <xdr:cNvGraphicFramePr/>
      </xdr:nvGraphicFramePr>
      <xdr:xfrm>
        <a:off x="4800600" y="22031325"/>
        <a:ext cx="4657725" cy="2800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9525</xdr:colOff>
      <xdr:row>137</xdr:row>
      <xdr:rowOff>19050</xdr:rowOff>
    </xdr:from>
    <xdr:to>
      <xdr:col>15</xdr:col>
      <xdr:colOff>447675</xdr:colOff>
      <xdr:row>154</xdr:row>
      <xdr:rowOff>38100</xdr:rowOff>
    </xdr:to>
    <xdr:graphicFrame>
      <xdr:nvGraphicFramePr>
        <xdr:cNvPr id="22" name="Chart 29"/>
        <xdr:cNvGraphicFramePr/>
      </xdr:nvGraphicFramePr>
      <xdr:xfrm>
        <a:off x="4886325" y="28251150"/>
        <a:ext cx="4705350" cy="2819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47625</xdr:colOff>
      <xdr:row>118</xdr:row>
      <xdr:rowOff>66675</xdr:rowOff>
    </xdr:from>
    <xdr:to>
      <xdr:col>15</xdr:col>
      <xdr:colOff>352425</xdr:colOff>
      <xdr:row>135</xdr:row>
      <xdr:rowOff>76200</xdr:rowOff>
    </xdr:to>
    <xdr:graphicFrame>
      <xdr:nvGraphicFramePr>
        <xdr:cNvPr id="23" name="Chart 30"/>
        <xdr:cNvGraphicFramePr/>
      </xdr:nvGraphicFramePr>
      <xdr:xfrm>
        <a:off x="4924425" y="25184100"/>
        <a:ext cx="4572000" cy="2800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180975</xdr:colOff>
      <xdr:row>136</xdr:row>
      <xdr:rowOff>152400</xdr:rowOff>
    </xdr:from>
    <xdr:to>
      <xdr:col>7</xdr:col>
      <xdr:colOff>352425</xdr:colOff>
      <xdr:row>153</xdr:row>
      <xdr:rowOff>133350</xdr:rowOff>
    </xdr:to>
    <xdr:graphicFrame>
      <xdr:nvGraphicFramePr>
        <xdr:cNvPr id="24" name="Chart 31"/>
        <xdr:cNvGraphicFramePr/>
      </xdr:nvGraphicFramePr>
      <xdr:xfrm>
        <a:off x="180975" y="28222575"/>
        <a:ext cx="4438650" cy="2771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323850</xdr:colOff>
      <xdr:row>248</xdr:row>
      <xdr:rowOff>19050</xdr:rowOff>
    </xdr:from>
    <xdr:to>
      <xdr:col>15</xdr:col>
      <xdr:colOff>371475</xdr:colOff>
      <xdr:row>269</xdr:row>
      <xdr:rowOff>0</xdr:rowOff>
    </xdr:to>
    <xdr:graphicFrame>
      <xdr:nvGraphicFramePr>
        <xdr:cNvPr id="25" name="Chart 32"/>
        <xdr:cNvGraphicFramePr/>
      </xdr:nvGraphicFramePr>
      <xdr:xfrm>
        <a:off x="5200650" y="46386750"/>
        <a:ext cx="4314825" cy="33813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400050</xdr:colOff>
      <xdr:row>156</xdr:row>
      <xdr:rowOff>47625</xdr:rowOff>
    </xdr:from>
    <xdr:to>
      <xdr:col>7</xdr:col>
      <xdr:colOff>247650</xdr:colOff>
      <xdr:row>175</xdr:row>
      <xdr:rowOff>152400</xdr:rowOff>
    </xdr:to>
    <xdr:graphicFrame>
      <xdr:nvGraphicFramePr>
        <xdr:cNvPr id="26" name="Chart 33"/>
        <xdr:cNvGraphicFramePr/>
      </xdr:nvGraphicFramePr>
      <xdr:xfrm>
        <a:off x="400050" y="31413450"/>
        <a:ext cx="4114800" cy="3228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98</xdr:row>
      <xdr:rowOff>209550</xdr:rowOff>
    </xdr:from>
    <xdr:to>
      <xdr:col>7</xdr:col>
      <xdr:colOff>514350</xdr:colOff>
      <xdr:row>98</xdr:row>
      <xdr:rowOff>3400425</xdr:rowOff>
    </xdr:to>
    <xdr:graphicFrame>
      <xdr:nvGraphicFramePr>
        <xdr:cNvPr id="27" name="Chart 34"/>
        <xdr:cNvGraphicFramePr/>
      </xdr:nvGraphicFramePr>
      <xdr:xfrm>
        <a:off x="0" y="18649950"/>
        <a:ext cx="4781550" cy="31908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47625</xdr:colOff>
      <xdr:row>98</xdr:row>
      <xdr:rowOff>123825</xdr:rowOff>
    </xdr:from>
    <xdr:to>
      <xdr:col>15</xdr:col>
      <xdr:colOff>323850</xdr:colOff>
      <xdr:row>98</xdr:row>
      <xdr:rowOff>3409950</xdr:rowOff>
    </xdr:to>
    <xdr:graphicFrame>
      <xdr:nvGraphicFramePr>
        <xdr:cNvPr id="28" name="Chart 35"/>
        <xdr:cNvGraphicFramePr/>
      </xdr:nvGraphicFramePr>
      <xdr:xfrm>
        <a:off x="4924425" y="18564225"/>
        <a:ext cx="4543425" cy="32861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447675</xdr:colOff>
      <xdr:row>223</xdr:row>
      <xdr:rowOff>152400</xdr:rowOff>
    </xdr:from>
    <xdr:to>
      <xdr:col>8</xdr:col>
      <xdr:colOff>66675</xdr:colOff>
      <xdr:row>246</xdr:row>
      <xdr:rowOff>104775</xdr:rowOff>
    </xdr:to>
    <xdr:graphicFrame>
      <xdr:nvGraphicFramePr>
        <xdr:cNvPr id="29" name="Chart 36"/>
        <xdr:cNvGraphicFramePr/>
      </xdr:nvGraphicFramePr>
      <xdr:xfrm>
        <a:off x="447675" y="42471975"/>
        <a:ext cx="4495800" cy="36766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352425</xdr:colOff>
      <xdr:row>224</xdr:row>
      <xdr:rowOff>142875</xdr:rowOff>
    </xdr:from>
    <xdr:to>
      <xdr:col>15</xdr:col>
      <xdr:colOff>314325</xdr:colOff>
      <xdr:row>246</xdr:row>
      <xdr:rowOff>0</xdr:rowOff>
    </xdr:to>
    <xdr:graphicFrame>
      <xdr:nvGraphicFramePr>
        <xdr:cNvPr id="30" name="Chart 37"/>
        <xdr:cNvGraphicFramePr/>
      </xdr:nvGraphicFramePr>
      <xdr:xfrm>
        <a:off x="5229225" y="42624375"/>
        <a:ext cx="4229100" cy="34194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7</xdr:col>
      <xdr:colOff>409575</xdr:colOff>
      <xdr:row>97</xdr:row>
      <xdr:rowOff>2486025</xdr:rowOff>
    </xdr:to>
    <xdr:graphicFrame>
      <xdr:nvGraphicFramePr>
        <xdr:cNvPr id="31" name="Chart 38"/>
        <xdr:cNvGraphicFramePr/>
      </xdr:nvGraphicFramePr>
      <xdr:xfrm>
        <a:off x="0" y="15859125"/>
        <a:ext cx="4676775" cy="24860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514350</xdr:colOff>
      <xdr:row>97</xdr:row>
      <xdr:rowOff>57150</xdr:rowOff>
    </xdr:from>
    <xdr:to>
      <xdr:col>15</xdr:col>
      <xdr:colOff>323850</xdr:colOff>
      <xdr:row>97</xdr:row>
      <xdr:rowOff>2438400</xdr:rowOff>
    </xdr:to>
    <xdr:graphicFrame>
      <xdr:nvGraphicFramePr>
        <xdr:cNvPr id="32" name="Chart 39"/>
        <xdr:cNvGraphicFramePr/>
      </xdr:nvGraphicFramePr>
      <xdr:xfrm>
        <a:off x="4781550" y="15916275"/>
        <a:ext cx="4686300" cy="2381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57"/>
  </sheetPr>
  <dimension ref="A1:IV351"/>
  <sheetViews>
    <sheetView tabSelected="1" zoomScale="75" zoomScaleNormal="75" workbookViewId="0" topLeftCell="A6">
      <pane ySplit="4380" topLeftCell="BM171" activePane="topLeft" state="split"/>
      <selection pane="topLeft" activeCell="F6" sqref="F6"/>
      <selection pane="bottomLeft" activeCell="C263" sqref="C263"/>
    </sheetView>
  </sheetViews>
  <sheetFormatPr defaultColWidth="9.140625" defaultRowHeight="12.75" zeroHeight="1"/>
  <cols>
    <col min="1" max="1" width="10.00390625" style="0" bestFit="1" customWidth="1"/>
    <col min="2" max="2" width="10.140625" style="41" customWidth="1"/>
    <col min="3" max="5" width="9.28125" style="41" bestFit="1" customWidth="1"/>
    <col min="6" max="6" width="9.7109375" style="41" bestFit="1" customWidth="1"/>
    <col min="7" max="11" width="9.28125" style="41" bestFit="1" customWidth="1"/>
    <col min="12" max="25" width="8.7109375" style="41" bestFit="1" customWidth="1"/>
    <col min="26" max="26" width="10.28125" style="41" bestFit="1" customWidth="1"/>
    <col min="27" max="27" width="10.140625" style="113" bestFit="1" customWidth="1"/>
    <col min="28" max="32" width="10.140625" style="41" hidden="1" customWidth="1"/>
    <col min="33" max="126" width="11.140625" style="41" hidden="1" customWidth="1"/>
    <col min="127" max="181" width="12.140625" style="41" hidden="1" customWidth="1"/>
    <col min="182" max="182" width="12.140625" style="114" hidden="1" customWidth="1"/>
    <col min="183" max="16384" width="10.7109375" style="41" hidden="1" customWidth="1"/>
  </cols>
  <sheetData>
    <row r="1" spans="1:27" ht="13.5" customHeight="1">
      <c r="A1" s="12" t="s">
        <v>27</v>
      </c>
      <c r="B1" s="38"/>
      <c r="C1" s="39"/>
      <c r="D1" s="39"/>
      <c r="E1" s="39"/>
      <c r="F1" s="40" t="s">
        <v>82</v>
      </c>
      <c r="H1" s="42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112"/>
    </row>
    <row r="2" spans="1:27" ht="13.5" customHeight="1">
      <c r="A2" s="1"/>
      <c r="B2" s="45" t="s">
        <v>69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112"/>
    </row>
    <row r="3" spans="9:27" ht="13.5" customHeight="1"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112"/>
    </row>
    <row r="4" spans="1:27" ht="13.5" customHeight="1" thickBot="1">
      <c r="A4" s="11" t="s">
        <v>64</v>
      </c>
      <c r="G4" s="46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112"/>
    </row>
    <row r="5" spans="1:27" ht="13.5" customHeight="1" thickBot="1">
      <c r="A5" s="34" t="s">
        <v>0</v>
      </c>
      <c r="B5" s="47" t="s">
        <v>1</v>
      </c>
      <c r="C5" s="47" t="s">
        <v>0</v>
      </c>
      <c r="D5" s="47" t="s">
        <v>1</v>
      </c>
      <c r="E5" s="47" t="s">
        <v>0</v>
      </c>
      <c r="F5" s="48" t="s">
        <v>1</v>
      </c>
      <c r="H5" s="42"/>
      <c r="I5" s="42"/>
      <c r="J5" s="42"/>
      <c r="K5" s="42"/>
      <c r="L5" s="42"/>
      <c r="M5" s="42"/>
      <c r="N5" s="43"/>
      <c r="O5" s="42"/>
      <c r="P5" s="42"/>
      <c r="Q5" s="43"/>
      <c r="R5" s="43"/>
      <c r="S5" s="43"/>
      <c r="T5" s="43"/>
      <c r="U5" s="43"/>
      <c r="V5" s="43"/>
      <c r="W5" s="43"/>
      <c r="X5" s="43"/>
      <c r="Y5" s="43"/>
      <c r="Z5" s="43"/>
      <c r="AA5" s="112"/>
    </row>
    <row r="6" spans="1:27" ht="13.5" customHeight="1">
      <c r="A6" s="35" t="s">
        <v>2</v>
      </c>
      <c r="B6" s="145">
        <v>7.14</v>
      </c>
      <c r="C6" s="50" t="s">
        <v>3</v>
      </c>
      <c r="D6" s="49">
        <v>1</v>
      </c>
      <c r="E6" s="50" t="s">
        <v>117</v>
      </c>
      <c r="F6" s="147">
        <v>12.2</v>
      </c>
      <c r="H6" s="42"/>
      <c r="I6" s="42"/>
      <c r="J6" s="42"/>
      <c r="K6" s="42"/>
      <c r="L6" s="42"/>
      <c r="M6" s="42" t="s">
        <v>282</v>
      </c>
      <c r="N6" s="43"/>
      <c r="O6" s="42"/>
      <c r="P6" s="145">
        <v>7.144</v>
      </c>
      <c r="Q6" s="43"/>
      <c r="R6" s="147">
        <v>12.2</v>
      </c>
      <c r="S6" s="43"/>
      <c r="T6" s="43" t="s">
        <v>280</v>
      </c>
      <c r="U6" s="43"/>
      <c r="V6" s="43" t="s">
        <v>281</v>
      </c>
      <c r="W6" s="43"/>
      <c r="X6" s="43"/>
      <c r="Y6" s="43"/>
      <c r="Z6" s="43"/>
      <c r="AA6" s="112"/>
    </row>
    <row r="7" spans="1:27" ht="13.5" customHeight="1">
      <c r="A7" s="36" t="s">
        <v>4</v>
      </c>
      <c r="B7" s="146">
        <v>20.5</v>
      </c>
      <c r="C7" s="52" t="s">
        <v>5</v>
      </c>
      <c r="D7" s="51">
        <v>2</v>
      </c>
      <c r="E7" s="52" t="s">
        <v>118</v>
      </c>
      <c r="F7" s="148">
        <v>-21.3</v>
      </c>
      <c r="H7" s="42"/>
      <c r="I7" s="42"/>
      <c r="J7" s="42"/>
      <c r="K7" s="42"/>
      <c r="L7" s="42"/>
      <c r="M7" s="42" t="s">
        <v>283</v>
      </c>
      <c r="N7" s="43" t="s">
        <v>284</v>
      </c>
      <c r="O7" s="42"/>
      <c r="P7" s="146">
        <v>20.499</v>
      </c>
      <c r="Q7" s="43"/>
      <c r="R7" s="148">
        <v>-21.3</v>
      </c>
      <c r="S7" s="43"/>
      <c r="T7" s="43" t="s">
        <v>279</v>
      </c>
      <c r="U7" s="43"/>
      <c r="V7" s="43" t="s">
        <v>292</v>
      </c>
      <c r="W7" s="43"/>
      <c r="X7" s="43"/>
      <c r="Y7" s="43"/>
      <c r="Z7" s="43"/>
      <c r="AA7" s="112"/>
    </row>
    <row r="8" spans="1:27" ht="13.5" customHeight="1">
      <c r="A8" s="36" t="s">
        <v>6</v>
      </c>
      <c r="B8" s="146">
        <v>23.94</v>
      </c>
      <c r="C8" s="52" t="s">
        <v>7</v>
      </c>
      <c r="D8" s="51">
        <v>1</v>
      </c>
      <c r="E8" s="52" t="s">
        <v>8</v>
      </c>
      <c r="F8" s="144">
        <v>20</v>
      </c>
      <c r="H8" s="42"/>
      <c r="I8" s="42"/>
      <c r="J8" s="42"/>
      <c r="K8" s="42"/>
      <c r="L8" s="42"/>
      <c r="M8" s="42" t="s">
        <v>285</v>
      </c>
      <c r="N8" s="43" t="s">
        <v>286</v>
      </c>
      <c r="O8" s="42"/>
      <c r="P8" s="146">
        <v>23.941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112"/>
    </row>
    <row r="9" spans="1:27" ht="13.5" customHeight="1">
      <c r="A9" s="36" t="s">
        <v>9</v>
      </c>
      <c r="B9" s="54">
        <f>$B$6*COS(RADIANS($F$9))</f>
        <v>7.14</v>
      </c>
      <c r="C9" s="52" t="s">
        <v>10</v>
      </c>
      <c r="D9" s="54">
        <f>$B$6*SIN(RADIANS($F$9))</f>
        <v>0</v>
      </c>
      <c r="E9" s="52" t="s">
        <v>11</v>
      </c>
      <c r="F9" s="53">
        <v>0</v>
      </c>
      <c r="H9" s="42"/>
      <c r="I9" s="42"/>
      <c r="J9" s="42"/>
      <c r="K9" s="42"/>
      <c r="L9" s="42"/>
      <c r="M9" s="42"/>
      <c r="N9" s="43"/>
      <c r="O9" s="42"/>
      <c r="P9" s="42"/>
      <c r="Q9" s="43"/>
      <c r="R9" s="43"/>
      <c r="S9" s="43"/>
      <c r="T9" s="43"/>
      <c r="U9" s="43"/>
      <c r="V9" s="43"/>
      <c r="W9" s="43"/>
      <c r="X9" s="43"/>
      <c r="Y9" s="43"/>
      <c r="Z9" s="43"/>
      <c r="AA9" s="112"/>
    </row>
    <row r="10" spans="1:27" ht="13.5" customHeight="1">
      <c r="A10" s="36" t="s">
        <v>12</v>
      </c>
      <c r="B10" s="54">
        <f>$B$9+$B$7*COS($B$56)</f>
        <v>27.442404899026897</v>
      </c>
      <c r="C10" s="52" t="s">
        <v>13</v>
      </c>
      <c r="D10" s="54">
        <f>$D$9+$B$7*SIN($B$56)</f>
        <v>-2.8394286953485417</v>
      </c>
      <c r="E10" s="55" t="s">
        <v>78</v>
      </c>
      <c r="F10" s="53">
        <v>1</v>
      </c>
      <c r="H10" s="42"/>
      <c r="I10" s="42"/>
      <c r="J10" s="42"/>
      <c r="K10" s="42"/>
      <c r="L10" s="42"/>
      <c r="M10" s="42"/>
      <c r="N10" s="43"/>
      <c r="O10" s="42"/>
      <c r="P10" s="4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112"/>
    </row>
    <row r="11" spans="1:27" ht="13.5" customHeight="1">
      <c r="A11" s="36" t="s">
        <v>14</v>
      </c>
      <c r="B11" s="125">
        <f>$B$9+$F$8*COS($B$56)</f>
        <v>26.947224291733555</v>
      </c>
      <c r="C11" s="52" t="s">
        <v>15</v>
      </c>
      <c r="D11" s="125">
        <f>$D$9+$F$8*SIN($B$56)</f>
        <v>-2.7701743369254066</v>
      </c>
      <c r="E11" s="55" t="s">
        <v>79</v>
      </c>
      <c r="F11" s="53">
        <v>0</v>
      </c>
      <c r="H11" s="42"/>
      <c r="I11" s="42"/>
      <c r="J11" s="42"/>
      <c r="K11" s="42"/>
      <c r="L11" s="42"/>
      <c r="M11" s="42" t="s">
        <v>287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112"/>
    </row>
    <row r="12" spans="1:27" ht="13.5" customHeight="1">
      <c r="A12" s="36" t="s">
        <v>16</v>
      </c>
      <c r="B12" s="51">
        <f>$B$6*COS(RADIANS($F$9))</f>
        <v>7.14</v>
      </c>
      <c r="C12" s="52" t="s">
        <v>17</v>
      </c>
      <c r="D12" s="51">
        <f>$B$6*SIN(RADIANS($F$9))</f>
        <v>0</v>
      </c>
      <c r="E12" s="52" t="s">
        <v>18</v>
      </c>
      <c r="F12" s="53">
        <v>15</v>
      </c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112"/>
    </row>
    <row r="13" spans="1:27" ht="13.5" customHeight="1">
      <c r="A13" s="36" t="s">
        <v>19</v>
      </c>
      <c r="B13" s="146">
        <v>12</v>
      </c>
      <c r="C13" s="52" t="s">
        <v>20</v>
      </c>
      <c r="D13" s="146">
        <v>14.2</v>
      </c>
      <c r="E13" s="52" t="s">
        <v>80</v>
      </c>
      <c r="F13" s="56">
        <v>9.81</v>
      </c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112"/>
    </row>
    <row r="14" spans="1:27" ht="13.5" customHeight="1">
      <c r="A14" s="36" t="s">
        <v>21</v>
      </c>
      <c r="B14" s="146">
        <v>34.5</v>
      </c>
      <c r="C14" s="52" t="s">
        <v>22</v>
      </c>
      <c r="D14" s="146">
        <v>7</v>
      </c>
      <c r="E14" s="57" t="s">
        <v>23</v>
      </c>
      <c r="F14" s="53">
        <v>0.01</v>
      </c>
      <c r="H14" s="42"/>
      <c r="I14" s="42"/>
      <c r="J14" s="42"/>
      <c r="K14" s="42"/>
      <c r="L14" s="42"/>
      <c r="M14" s="42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112"/>
    </row>
    <row r="15" spans="1:27" ht="13.5" customHeight="1">
      <c r="A15" s="36" t="s">
        <v>24</v>
      </c>
      <c r="B15" s="51">
        <v>1</v>
      </c>
      <c r="C15" s="52" t="s">
        <v>25</v>
      </c>
      <c r="D15" s="51">
        <v>1.5</v>
      </c>
      <c r="E15" s="52" t="s">
        <v>26</v>
      </c>
      <c r="F15" s="53">
        <v>1.2</v>
      </c>
      <c r="H15" s="42"/>
      <c r="I15" s="42"/>
      <c r="J15" s="42"/>
      <c r="K15" s="42"/>
      <c r="L15" s="42"/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12"/>
    </row>
    <row r="16" spans="1:27" ht="13.5" customHeight="1">
      <c r="A16" s="36" t="s">
        <v>114</v>
      </c>
      <c r="B16" s="58">
        <f>RADIANS(75)</f>
        <v>1.3089969389957472</v>
      </c>
      <c r="C16" s="52" t="s">
        <v>115</v>
      </c>
      <c r="D16" s="146">
        <v>-45</v>
      </c>
      <c r="E16" s="52" t="s">
        <v>116</v>
      </c>
      <c r="F16" s="59">
        <f>TAN(B16)</f>
        <v>3.7320508075688776</v>
      </c>
      <c r="G16" s="43"/>
      <c r="H16" s="60"/>
      <c r="I16" s="42"/>
      <c r="J16" s="42"/>
      <c r="K16" s="42"/>
      <c r="L16" s="42"/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112"/>
    </row>
    <row r="17" spans="1:27" ht="13.5" thickBot="1">
      <c r="A17" s="37" t="s">
        <v>161</v>
      </c>
      <c r="B17" s="149">
        <v>14</v>
      </c>
      <c r="C17" s="61" t="s">
        <v>192</v>
      </c>
      <c r="D17" s="62">
        <v>5</v>
      </c>
      <c r="E17" s="41" t="s">
        <v>289</v>
      </c>
      <c r="F17" s="41">
        <v>0.1</v>
      </c>
      <c r="AA17" s="112"/>
    </row>
    <row r="18" spans="1:27" ht="12.75">
      <c r="A18" s="14" t="s">
        <v>194</v>
      </c>
      <c r="B18" s="41">
        <v>1</v>
      </c>
      <c r="C18" s="41" t="s">
        <v>195</v>
      </c>
      <c r="D18" s="41">
        <v>0.2</v>
      </c>
      <c r="E18" s="41" t="s">
        <v>290</v>
      </c>
      <c r="F18" s="41">
        <v>0.2</v>
      </c>
      <c r="L18" s="41" t="s">
        <v>293</v>
      </c>
      <c r="M18" s="41">
        <v>1</v>
      </c>
      <c r="O18" s="41">
        <v>0.2</v>
      </c>
      <c r="AA18" s="112"/>
    </row>
    <row r="19" spans="1:27" ht="13.5" customHeight="1" thickBot="1">
      <c r="A19" s="152" t="s">
        <v>196</v>
      </c>
      <c r="B19" s="41">
        <v>2</v>
      </c>
      <c r="C19" s="41" t="s">
        <v>197</v>
      </c>
      <c r="D19" s="41">
        <v>0.5</v>
      </c>
      <c r="E19" s="61" t="s">
        <v>288</v>
      </c>
      <c r="F19" s="63">
        <v>1</v>
      </c>
      <c r="I19" s="43"/>
      <c r="J19" s="43"/>
      <c r="K19" s="43"/>
      <c r="L19" s="43" t="s">
        <v>294</v>
      </c>
      <c r="M19" s="41">
        <v>2</v>
      </c>
      <c r="O19" s="41">
        <v>0.5</v>
      </c>
      <c r="R19" s="43"/>
      <c r="S19" s="43"/>
      <c r="T19" s="43"/>
      <c r="U19" s="43"/>
      <c r="V19" s="43"/>
      <c r="W19" s="43"/>
      <c r="X19" s="43"/>
      <c r="Y19" s="43"/>
      <c r="Z19" s="43"/>
      <c r="AA19" s="112"/>
    </row>
    <row r="20" spans="1:27" ht="13.5" thickBot="1">
      <c r="A20" s="10" t="s">
        <v>65</v>
      </c>
      <c r="AA20" s="112"/>
    </row>
    <row r="21" spans="1:182" s="39" customFormat="1" ht="13.5" customHeight="1">
      <c r="A21" s="4" t="s">
        <v>28</v>
      </c>
      <c r="B21" s="39">
        <f>$F$9</f>
        <v>0</v>
      </c>
      <c r="C21" s="39">
        <f aca="true" t="shared" si="0" ref="C21:Z21">B21+$F$12</f>
        <v>15</v>
      </c>
      <c r="D21" s="39">
        <f t="shared" si="0"/>
        <v>30</v>
      </c>
      <c r="E21" s="39">
        <f t="shared" si="0"/>
        <v>45</v>
      </c>
      <c r="F21" s="39">
        <f t="shared" si="0"/>
        <v>60</v>
      </c>
      <c r="G21" s="39">
        <f t="shared" si="0"/>
        <v>75</v>
      </c>
      <c r="H21" s="39">
        <f t="shared" si="0"/>
        <v>90</v>
      </c>
      <c r="I21" s="39">
        <f t="shared" si="0"/>
        <v>105</v>
      </c>
      <c r="J21" s="39">
        <f t="shared" si="0"/>
        <v>120</v>
      </c>
      <c r="K21" s="39">
        <f t="shared" si="0"/>
        <v>135</v>
      </c>
      <c r="L21" s="39">
        <f t="shared" si="0"/>
        <v>150</v>
      </c>
      <c r="M21" s="39">
        <f t="shared" si="0"/>
        <v>165</v>
      </c>
      <c r="N21" s="39">
        <f t="shared" si="0"/>
        <v>180</v>
      </c>
      <c r="O21" s="39">
        <f t="shared" si="0"/>
        <v>195</v>
      </c>
      <c r="P21" s="39">
        <f t="shared" si="0"/>
        <v>210</v>
      </c>
      <c r="Q21" s="39">
        <f t="shared" si="0"/>
        <v>225</v>
      </c>
      <c r="R21" s="39">
        <f t="shared" si="0"/>
        <v>240</v>
      </c>
      <c r="S21" s="39">
        <f t="shared" si="0"/>
        <v>255</v>
      </c>
      <c r="T21" s="39">
        <f t="shared" si="0"/>
        <v>270</v>
      </c>
      <c r="U21" s="39">
        <f t="shared" si="0"/>
        <v>285</v>
      </c>
      <c r="V21" s="39">
        <f t="shared" si="0"/>
        <v>300</v>
      </c>
      <c r="W21" s="39">
        <f t="shared" si="0"/>
        <v>315</v>
      </c>
      <c r="X21" s="39">
        <f t="shared" si="0"/>
        <v>330</v>
      </c>
      <c r="Y21" s="39">
        <f t="shared" si="0"/>
        <v>345</v>
      </c>
      <c r="Z21" s="39">
        <f t="shared" si="0"/>
        <v>360</v>
      </c>
      <c r="FZ21" s="115"/>
    </row>
    <row r="22" spans="1:26" s="43" customFormat="1" ht="13.5" customHeight="1">
      <c r="A22" s="5" t="s">
        <v>73</v>
      </c>
      <c r="B22" s="43">
        <f>RADIANS(B21)</f>
        <v>0</v>
      </c>
      <c r="C22" s="43">
        <f>RADIANS(C21)</f>
        <v>0.2617993877991494</v>
      </c>
      <c r="D22" s="43">
        <f aca="true" t="shared" si="1" ref="D22:Y22">RADIANS(D21)</f>
        <v>0.5235987755982988</v>
      </c>
      <c r="E22" s="43">
        <f t="shared" si="1"/>
        <v>0.7853981633974483</v>
      </c>
      <c r="F22" s="43">
        <f t="shared" si="1"/>
        <v>1.0471975511965976</v>
      </c>
      <c r="G22" s="43">
        <f t="shared" si="1"/>
        <v>1.3089969389957472</v>
      </c>
      <c r="H22" s="43">
        <f t="shared" si="1"/>
        <v>1.5707963267948966</v>
      </c>
      <c r="I22" s="43">
        <f t="shared" si="1"/>
        <v>1.8325957145940461</v>
      </c>
      <c r="J22" s="43">
        <f t="shared" si="1"/>
        <v>2.0943951023931953</v>
      </c>
      <c r="K22" s="43">
        <f t="shared" si="1"/>
        <v>2.356194490192345</v>
      </c>
      <c r="L22" s="43">
        <f t="shared" si="1"/>
        <v>2.6179938779914944</v>
      </c>
      <c r="M22" s="43">
        <f t="shared" si="1"/>
        <v>2.8797932657906435</v>
      </c>
      <c r="N22" s="43">
        <f t="shared" si="1"/>
        <v>3.141592653589793</v>
      </c>
      <c r="O22" s="43">
        <f t="shared" si="1"/>
        <v>3.4033920413889427</v>
      </c>
      <c r="P22" s="43">
        <f t="shared" si="1"/>
        <v>3.6651914291880923</v>
      </c>
      <c r="Q22" s="43">
        <f t="shared" si="1"/>
        <v>3.9269908169872414</v>
      </c>
      <c r="R22" s="43">
        <f t="shared" si="1"/>
        <v>4.1887902047863905</v>
      </c>
      <c r="S22" s="43">
        <f t="shared" si="1"/>
        <v>4.4505895925855405</v>
      </c>
      <c r="T22" s="43">
        <f t="shared" si="1"/>
        <v>4.71238898038469</v>
      </c>
      <c r="U22" s="43">
        <f t="shared" si="1"/>
        <v>4.974188368183839</v>
      </c>
      <c r="V22" s="43">
        <f t="shared" si="1"/>
        <v>5.235987755982989</v>
      </c>
      <c r="W22" s="43">
        <f t="shared" si="1"/>
        <v>5.497787143782138</v>
      </c>
      <c r="X22" s="43">
        <f t="shared" si="1"/>
        <v>5.759586531581287</v>
      </c>
      <c r="Y22" s="43">
        <f t="shared" si="1"/>
        <v>6.021385919380437</v>
      </c>
      <c r="Z22" s="43">
        <f>RADIANS(Z21)</f>
        <v>6.283185307179586</v>
      </c>
    </row>
    <row r="23" spans="1:26" s="43" customFormat="1" ht="13.5" customHeight="1">
      <c r="A23" s="5" t="s">
        <v>29</v>
      </c>
      <c r="B23" s="43">
        <f aca="true" t="shared" si="2" ref="B23:Y23">B22-$B$22</f>
        <v>0</v>
      </c>
      <c r="C23" s="43">
        <f t="shared" si="2"/>
        <v>0.2617993877991494</v>
      </c>
      <c r="D23" s="43">
        <f t="shared" si="2"/>
        <v>0.5235987755982988</v>
      </c>
      <c r="E23" s="43">
        <f t="shared" si="2"/>
        <v>0.7853981633974483</v>
      </c>
      <c r="F23" s="43">
        <f t="shared" si="2"/>
        <v>1.0471975511965976</v>
      </c>
      <c r="G23" s="43">
        <f t="shared" si="2"/>
        <v>1.3089969389957472</v>
      </c>
      <c r="H23" s="43">
        <f t="shared" si="2"/>
        <v>1.5707963267948966</v>
      </c>
      <c r="I23" s="43">
        <f t="shared" si="2"/>
        <v>1.8325957145940461</v>
      </c>
      <c r="J23" s="43">
        <f t="shared" si="2"/>
        <v>2.0943951023931953</v>
      </c>
      <c r="K23" s="43">
        <f t="shared" si="2"/>
        <v>2.356194490192345</v>
      </c>
      <c r="L23" s="43">
        <f t="shared" si="2"/>
        <v>2.6179938779914944</v>
      </c>
      <c r="M23" s="43">
        <f t="shared" si="2"/>
        <v>2.8797932657906435</v>
      </c>
      <c r="N23" s="43">
        <f t="shared" si="2"/>
        <v>3.141592653589793</v>
      </c>
      <c r="O23" s="43">
        <f t="shared" si="2"/>
        <v>3.4033920413889427</v>
      </c>
      <c r="P23" s="43">
        <f t="shared" si="2"/>
        <v>3.6651914291880923</v>
      </c>
      <c r="Q23" s="43">
        <f t="shared" si="2"/>
        <v>3.9269908169872414</v>
      </c>
      <c r="R23" s="43">
        <f t="shared" si="2"/>
        <v>4.1887902047863905</v>
      </c>
      <c r="S23" s="43">
        <f t="shared" si="2"/>
        <v>4.4505895925855405</v>
      </c>
      <c r="T23" s="43">
        <f t="shared" si="2"/>
        <v>4.71238898038469</v>
      </c>
      <c r="U23" s="43">
        <f t="shared" si="2"/>
        <v>4.974188368183839</v>
      </c>
      <c r="V23" s="43">
        <f t="shared" si="2"/>
        <v>5.235987755982989</v>
      </c>
      <c r="W23" s="43">
        <f t="shared" si="2"/>
        <v>5.497787143782138</v>
      </c>
      <c r="X23" s="43">
        <f t="shared" si="2"/>
        <v>5.759586531581287</v>
      </c>
      <c r="Y23" s="43">
        <f t="shared" si="2"/>
        <v>6.021385919380437</v>
      </c>
      <c r="Z23" s="43">
        <f>Z22-$B$22</f>
        <v>6.283185307179586</v>
      </c>
    </row>
    <row r="24" spans="1:26" s="43" customFormat="1" ht="13.5" customHeight="1">
      <c r="A24" s="5" t="s">
        <v>30</v>
      </c>
      <c r="B24" s="43">
        <f aca="true" t="shared" si="3" ref="B24:Y24">RADIANS(B21-$B$21)</f>
        <v>0</v>
      </c>
      <c r="C24" s="43">
        <f t="shared" si="3"/>
        <v>0.2617993877991494</v>
      </c>
      <c r="D24" s="43">
        <f t="shared" si="3"/>
        <v>0.5235987755982988</v>
      </c>
      <c r="E24" s="43">
        <f t="shared" si="3"/>
        <v>0.7853981633974483</v>
      </c>
      <c r="F24" s="43">
        <f t="shared" si="3"/>
        <v>1.0471975511965976</v>
      </c>
      <c r="G24" s="43">
        <f t="shared" si="3"/>
        <v>1.3089969389957472</v>
      </c>
      <c r="H24" s="43">
        <f t="shared" si="3"/>
        <v>1.5707963267948966</v>
      </c>
      <c r="I24" s="43">
        <f t="shared" si="3"/>
        <v>1.8325957145940461</v>
      </c>
      <c r="J24" s="43">
        <f t="shared" si="3"/>
        <v>2.0943951023931953</v>
      </c>
      <c r="K24" s="43">
        <f t="shared" si="3"/>
        <v>2.356194490192345</v>
      </c>
      <c r="L24" s="43">
        <f t="shared" si="3"/>
        <v>2.6179938779914944</v>
      </c>
      <c r="M24" s="43">
        <f t="shared" si="3"/>
        <v>2.8797932657906435</v>
      </c>
      <c r="N24" s="43">
        <f t="shared" si="3"/>
        <v>3.141592653589793</v>
      </c>
      <c r="O24" s="43">
        <f t="shared" si="3"/>
        <v>3.4033920413889427</v>
      </c>
      <c r="P24" s="43">
        <f t="shared" si="3"/>
        <v>3.6651914291880923</v>
      </c>
      <c r="Q24" s="43">
        <f t="shared" si="3"/>
        <v>3.9269908169872414</v>
      </c>
      <c r="R24" s="43">
        <f t="shared" si="3"/>
        <v>4.1887902047863905</v>
      </c>
      <c r="S24" s="43">
        <f t="shared" si="3"/>
        <v>4.4505895925855405</v>
      </c>
      <c r="T24" s="43">
        <f t="shared" si="3"/>
        <v>4.71238898038469</v>
      </c>
      <c r="U24" s="43">
        <f t="shared" si="3"/>
        <v>4.974188368183839</v>
      </c>
      <c r="V24" s="43">
        <f t="shared" si="3"/>
        <v>5.235987755982989</v>
      </c>
      <c r="W24" s="43">
        <f t="shared" si="3"/>
        <v>5.497787143782138</v>
      </c>
      <c r="X24" s="43">
        <f t="shared" si="3"/>
        <v>5.759586531581287</v>
      </c>
      <c r="Y24" s="43">
        <f t="shared" si="3"/>
        <v>6.021385919380437</v>
      </c>
      <c r="Z24" s="43">
        <f>RADIANS(Z21-$B$21)</f>
        <v>6.283185307179586</v>
      </c>
    </row>
    <row r="25" spans="1:26" s="43" customFormat="1" ht="13.5" customHeight="1">
      <c r="A25" s="5" t="s">
        <v>31</v>
      </c>
      <c r="B25" s="43">
        <f aca="true" t="shared" si="4" ref="B25:Y25">COS(B24)</f>
        <v>1</v>
      </c>
      <c r="C25" s="43">
        <f t="shared" si="4"/>
        <v>0.9659258262890683</v>
      </c>
      <c r="D25" s="43">
        <f t="shared" si="4"/>
        <v>0.8660254037844387</v>
      </c>
      <c r="E25" s="43">
        <f t="shared" si="4"/>
        <v>0.7071067811865476</v>
      </c>
      <c r="F25" s="43">
        <f t="shared" si="4"/>
        <v>0.5000000000000001</v>
      </c>
      <c r="G25" s="43">
        <f t="shared" si="4"/>
        <v>0.25881904510252074</v>
      </c>
      <c r="H25" s="43">
        <f t="shared" si="4"/>
        <v>6.1257422745431E-17</v>
      </c>
      <c r="I25" s="43">
        <f t="shared" si="4"/>
        <v>-0.25881904510252085</v>
      </c>
      <c r="J25" s="43">
        <f t="shared" si="4"/>
        <v>-0.4999999999999998</v>
      </c>
      <c r="K25" s="43">
        <f t="shared" si="4"/>
        <v>-0.7071067811865475</v>
      </c>
      <c r="L25" s="43">
        <f t="shared" si="4"/>
        <v>-0.8660254037844387</v>
      </c>
      <c r="M25" s="43">
        <f t="shared" si="4"/>
        <v>-0.9659258262890682</v>
      </c>
      <c r="N25" s="43">
        <f t="shared" si="4"/>
        <v>-1</v>
      </c>
      <c r="O25" s="43">
        <f t="shared" si="4"/>
        <v>-0.9659258262890683</v>
      </c>
      <c r="P25" s="43">
        <f t="shared" si="4"/>
        <v>-0.8660254037844386</v>
      </c>
      <c r="Q25" s="43">
        <f t="shared" si="4"/>
        <v>-0.7071067811865477</v>
      </c>
      <c r="R25" s="43">
        <f t="shared" si="4"/>
        <v>-0.5000000000000004</v>
      </c>
      <c r="S25" s="43">
        <f t="shared" si="4"/>
        <v>-0.25881904510252063</v>
      </c>
      <c r="T25" s="43">
        <f t="shared" si="4"/>
        <v>-1.83772268236293E-16</v>
      </c>
      <c r="U25" s="43">
        <f t="shared" si="4"/>
        <v>0.2588190451025203</v>
      </c>
      <c r="V25" s="43">
        <f t="shared" si="4"/>
        <v>0.5000000000000001</v>
      </c>
      <c r="W25" s="43">
        <f t="shared" si="4"/>
        <v>0.7071067811865474</v>
      </c>
      <c r="X25" s="43">
        <f t="shared" si="4"/>
        <v>0.8660254037844384</v>
      </c>
      <c r="Y25" s="43">
        <f t="shared" si="4"/>
        <v>0.9659258262890683</v>
      </c>
      <c r="Z25" s="43">
        <f>COS(Z24)</f>
        <v>1</v>
      </c>
    </row>
    <row r="26" spans="1:26" s="43" customFormat="1" ht="13.5" customHeight="1">
      <c r="A26" s="5" t="s">
        <v>32</v>
      </c>
      <c r="B26" s="43">
        <f aca="true" t="shared" si="5" ref="B26:Y26">SIN(B24)</f>
        <v>0</v>
      </c>
      <c r="C26" s="43">
        <f t="shared" si="5"/>
        <v>0.25881904510252074</v>
      </c>
      <c r="D26" s="43">
        <f t="shared" si="5"/>
        <v>0.49999999999999994</v>
      </c>
      <c r="E26" s="43">
        <f t="shared" si="5"/>
        <v>0.7071067811865475</v>
      </c>
      <c r="F26" s="43">
        <f t="shared" si="5"/>
        <v>0.8660254037844386</v>
      </c>
      <c r="G26" s="43">
        <f t="shared" si="5"/>
        <v>0.9659258262890683</v>
      </c>
      <c r="H26" s="43">
        <f t="shared" si="5"/>
        <v>1</v>
      </c>
      <c r="I26" s="43">
        <f t="shared" si="5"/>
        <v>0.9659258262890683</v>
      </c>
      <c r="J26" s="43">
        <f t="shared" si="5"/>
        <v>0.8660254037844387</v>
      </c>
      <c r="K26" s="43">
        <f t="shared" si="5"/>
        <v>0.7071067811865476</v>
      </c>
      <c r="L26" s="43">
        <f t="shared" si="5"/>
        <v>0.49999999999999994</v>
      </c>
      <c r="M26" s="43">
        <f t="shared" si="5"/>
        <v>0.258819045102521</v>
      </c>
      <c r="N26" s="43">
        <f t="shared" si="5"/>
        <v>1.22514845490862E-16</v>
      </c>
      <c r="O26" s="43">
        <f t="shared" si="5"/>
        <v>-0.2588190451025208</v>
      </c>
      <c r="P26" s="43">
        <f t="shared" si="5"/>
        <v>-0.5000000000000001</v>
      </c>
      <c r="Q26" s="43">
        <f t="shared" si="5"/>
        <v>-0.7071067811865475</v>
      </c>
      <c r="R26" s="43">
        <f t="shared" si="5"/>
        <v>-0.8660254037844384</v>
      </c>
      <c r="S26" s="43">
        <f t="shared" si="5"/>
        <v>-0.9659258262890683</v>
      </c>
      <c r="T26" s="43">
        <f t="shared" si="5"/>
        <v>-1</v>
      </c>
      <c r="U26" s="43">
        <f t="shared" si="5"/>
        <v>-0.9659258262890684</v>
      </c>
      <c r="V26" s="43">
        <f t="shared" si="5"/>
        <v>-0.8660254037844386</v>
      </c>
      <c r="W26" s="43">
        <f t="shared" si="5"/>
        <v>-0.7071067811865477</v>
      </c>
      <c r="X26" s="43">
        <f t="shared" si="5"/>
        <v>-0.5000000000000004</v>
      </c>
      <c r="Y26" s="43">
        <f t="shared" si="5"/>
        <v>-0.2588190451025207</v>
      </c>
      <c r="Z26" s="43">
        <f>SIN(Z24)</f>
        <v>-2.45029690981724E-16</v>
      </c>
    </row>
    <row r="27" spans="1:26" s="43" customFormat="1" ht="13.5" customHeight="1">
      <c r="A27" s="8" t="s">
        <v>74</v>
      </c>
      <c r="B27" s="43">
        <f>F11</f>
        <v>0</v>
      </c>
      <c r="C27" s="43">
        <f>B27+$F$14</f>
        <v>0.01</v>
      </c>
      <c r="D27" s="43">
        <f>C27+$F$14</f>
        <v>0.02</v>
      </c>
      <c r="E27" s="43">
        <f aca="true" t="shared" si="6" ref="E27:Y27">D27+$F$14</f>
        <v>0.03</v>
      </c>
      <c r="F27" s="43">
        <f t="shared" si="6"/>
        <v>0.04</v>
      </c>
      <c r="G27" s="43">
        <f t="shared" si="6"/>
        <v>0.05</v>
      </c>
      <c r="H27" s="43">
        <f t="shared" si="6"/>
        <v>0.060000000000000005</v>
      </c>
      <c r="I27" s="43">
        <f t="shared" si="6"/>
        <v>0.07</v>
      </c>
      <c r="J27" s="43">
        <f t="shared" si="6"/>
        <v>0.08</v>
      </c>
      <c r="K27" s="43">
        <f t="shared" si="6"/>
        <v>0.09</v>
      </c>
      <c r="L27" s="43">
        <f t="shared" si="6"/>
        <v>0.09999999999999999</v>
      </c>
      <c r="M27" s="43">
        <f t="shared" si="6"/>
        <v>0.10999999999999999</v>
      </c>
      <c r="N27" s="43">
        <f t="shared" si="6"/>
        <v>0.11999999999999998</v>
      </c>
      <c r="O27" s="43">
        <f t="shared" si="6"/>
        <v>0.12999999999999998</v>
      </c>
      <c r="P27" s="43">
        <f t="shared" si="6"/>
        <v>0.13999999999999999</v>
      </c>
      <c r="Q27" s="43">
        <f t="shared" si="6"/>
        <v>0.15</v>
      </c>
      <c r="R27" s="43">
        <f t="shared" si="6"/>
        <v>0.16</v>
      </c>
      <c r="S27" s="43">
        <f t="shared" si="6"/>
        <v>0.17</v>
      </c>
      <c r="T27" s="43">
        <f t="shared" si="6"/>
        <v>0.18000000000000002</v>
      </c>
      <c r="U27" s="43">
        <f t="shared" si="6"/>
        <v>0.19000000000000003</v>
      </c>
      <c r="V27" s="43">
        <f t="shared" si="6"/>
        <v>0.20000000000000004</v>
      </c>
      <c r="W27" s="43">
        <f t="shared" si="6"/>
        <v>0.21000000000000005</v>
      </c>
      <c r="X27" s="43">
        <f t="shared" si="6"/>
        <v>0.22000000000000006</v>
      </c>
      <c r="Y27" s="43">
        <f t="shared" si="6"/>
        <v>0.23000000000000007</v>
      </c>
      <c r="Z27" s="43">
        <f>Y27+$F$14</f>
        <v>0.24000000000000007</v>
      </c>
    </row>
    <row r="28" spans="1:26" s="43" customFormat="1" ht="13.5" customHeight="1">
      <c r="A28" s="8" t="s">
        <v>33</v>
      </c>
      <c r="B28" s="43">
        <v>0</v>
      </c>
      <c r="C28" s="43">
        <f aca="true" t="shared" si="7" ref="C28:Y28">(C24-B24)/B29</f>
        <v>0.2617993877991494</v>
      </c>
      <c r="D28" s="43">
        <f t="shared" si="7"/>
        <v>0.2617993877991494</v>
      </c>
      <c r="E28" s="43">
        <f t="shared" si="7"/>
        <v>0.2611157882640273</v>
      </c>
      <c r="F28" s="43">
        <f t="shared" si="7"/>
        <v>0.2597592434716678</v>
      </c>
      <c r="G28" s="43">
        <f t="shared" si="7"/>
        <v>0.2577558543602268</v>
      </c>
      <c r="H28" s="43">
        <f t="shared" si="7"/>
        <v>0.2551457417899583</v>
      </c>
      <c r="I28" s="43">
        <f t="shared" si="7"/>
        <v>0.25198080025875663</v>
      </c>
      <c r="J28" s="43">
        <f t="shared" si="7"/>
        <v>0.2483218763295882</v>
      </c>
      <c r="K28" s="43">
        <f t="shared" si="7"/>
        <v>0.24423566403090555</v>
      </c>
      <c r="L28" s="43">
        <f t="shared" si="7"/>
        <v>0.2397916092376973</v>
      </c>
      <c r="M28" s="43">
        <f t="shared" si="7"/>
        <v>0.23505907281558347</v>
      </c>
      <c r="N28" s="43">
        <f t="shared" si="7"/>
        <v>0.2301049325033259</v>
      </c>
      <c r="O28" s="43">
        <f t="shared" si="7"/>
        <v>0.22499172346423466</v>
      </c>
      <c r="P28" s="43">
        <f t="shared" si="7"/>
        <v>0.21977634256783907</v>
      </c>
      <c r="Q28" s="43">
        <f t="shared" si="7"/>
        <v>0.21450928215860082</v>
      </c>
      <c r="R28" s="43">
        <f t="shared" si="7"/>
        <v>0.2092343198368514</v>
      </c>
      <c r="S28" s="43">
        <f t="shared" si="7"/>
        <v>0.20398857116353403</v>
      </c>
      <c r="T28" s="43">
        <f t="shared" si="7"/>
        <v>0.19880280858872704</v>
      </c>
      <c r="U28" s="43">
        <f t="shared" si="7"/>
        <v>0.19370195737730406</v>
      </c>
      <c r="V28" s="43">
        <f t="shared" si="7"/>
        <v>0.18870569305782686</v>
      </c>
      <c r="W28" s="43">
        <f t="shared" si="7"/>
        <v>0.18382908106411308</v>
      </c>
      <c r="X28" s="43">
        <f t="shared" si="7"/>
        <v>0.1790832150774196</v>
      </c>
      <c r="Y28" s="43">
        <f t="shared" si="7"/>
        <v>0.17447582453642743</v>
      </c>
      <c r="Z28" s="43">
        <f>(Z24-Y24)/Y29</f>
        <v>0.17001183316546703</v>
      </c>
    </row>
    <row r="29" spans="1:26" s="43" customFormat="1" ht="13.5" customHeight="1">
      <c r="A29" s="8" t="s">
        <v>75</v>
      </c>
      <c r="B29" s="43">
        <f>F10</f>
        <v>1</v>
      </c>
      <c r="C29" s="43">
        <f aca="true" t="shared" si="8" ref="C29:Y29">B29+B27*B28</f>
        <v>1</v>
      </c>
      <c r="D29" s="43">
        <f t="shared" si="8"/>
        <v>1.0026179938779916</v>
      </c>
      <c r="E29" s="43">
        <f t="shared" si="8"/>
        <v>1.0078539816339744</v>
      </c>
      <c r="F29" s="43">
        <f t="shared" si="8"/>
        <v>1.0156874552818953</v>
      </c>
      <c r="G29" s="43">
        <f t="shared" si="8"/>
        <v>1.026077825020762</v>
      </c>
      <c r="H29" s="43">
        <f t="shared" si="8"/>
        <v>1.0389656177387734</v>
      </c>
      <c r="I29" s="43">
        <f t="shared" si="8"/>
        <v>1.054274362246171</v>
      </c>
      <c r="J29" s="43">
        <f t="shared" si="8"/>
        <v>1.071913018264284</v>
      </c>
      <c r="K29" s="43">
        <f t="shared" si="8"/>
        <v>1.091778768370651</v>
      </c>
      <c r="L29" s="43">
        <f t="shared" si="8"/>
        <v>1.1137599781334324</v>
      </c>
      <c r="M29" s="43">
        <f t="shared" si="8"/>
        <v>1.137739139057202</v>
      </c>
      <c r="N29" s="43">
        <f t="shared" si="8"/>
        <v>1.1635956370669163</v>
      </c>
      <c r="O29" s="43">
        <f t="shared" si="8"/>
        <v>1.1912082289673154</v>
      </c>
      <c r="P29" s="43">
        <f t="shared" si="8"/>
        <v>1.2204571530176658</v>
      </c>
      <c r="Q29" s="43">
        <f t="shared" si="8"/>
        <v>1.2512258409771633</v>
      </c>
      <c r="R29" s="43">
        <f t="shared" si="8"/>
        <v>1.2834022333009534</v>
      </c>
      <c r="S29" s="43">
        <f t="shared" si="8"/>
        <v>1.3168797244748496</v>
      </c>
      <c r="T29" s="43">
        <f t="shared" si="8"/>
        <v>1.3515577815726503</v>
      </c>
      <c r="U29" s="43">
        <f t="shared" si="8"/>
        <v>1.3873422871186212</v>
      </c>
      <c r="V29" s="43">
        <f t="shared" si="8"/>
        <v>1.424145659020309</v>
      </c>
      <c r="W29" s="43">
        <f t="shared" si="8"/>
        <v>1.4618867976318743</v>
      </c>
      <c r="X29" s="43">
        <f t="shared" si="8"/>
        <v>1.500490904655338</v>
      </c>
      <c r="Y29" s="43">
        <f t="shared" si="8"/>
        <v>1.5398892119723704</v>
      </c>
      <c r="Z29" s="43">
        <f>Y29+Y27*Y28</f>
        <v>1.5800186516157486</v>
      </c>
    </row>
    <row r="30" spans="1:26" s="43" customFormat="1" ht="13.5" customHeight="1">
      <c r="A30" s="8" t="s">
        <v>76</v>
      </c>
      <c r="B30" s="43">
        <f>B22</f>
        <v>0</v>
      </c>
      <c r="C30" s="43">
        <f>B30+B29*C28+B27*C28*C28/2</f>
        <v>0.2617993877991494</v>
      </c>
      <c r="D30" s="43">
        <f aca="true" t="shared" si="9" ref="D30:Y30">C30+C29*D28+C27*D28*D28/2</f>
        <v>0.5239414701955588</v>
      </c>
      <c r="E30" s="43">
        <f t="shared" si="9"/>
        <v>0.7864226725435157</v>
      </c>
      <c r="F30" s="43">
        <f t="shared" si="9"/>
        <v>1.0492341833111998</v>
      </c>
      <c r="G30" s="43">
        <f t="shared" si="9"/>
        <v>1.3123623327194887</v>
      </c>
      <c r="H30" s="43">
        <f t="shared" si="9"/>
        <v>1.5757892042574768</v>
      </c>
      <c r="I30" s="43">
        <f t="shared" si="9"/>
        <v>1.8394934217675978</v>
      </c>
      <c r="J30" s="43">
        <f t="shared" si="9"/>
        <v>2.1034510409659815</v>
      </c>
      <c r="K30" s="43">
        <f t="shared" si="9"/>
        <v>2.367636471148516</v>
      </c>
      <c r="L30" s="43">
        <f t="shared" si="9"/>
        <v>2.6320233596614018</v>
      </c>
      <c r="M30" s="43">
        <f t="shared" si="9"/>
        <v>2.896585385846197</v>
      </c>
      <c r="N30" s="43">
        <f t="shared" si="9"/>
        <v>3.1612969290432766</v>
      </c>
      <c r="O30" s="43">
        <f t="shared" si="9"/>
        <v>3.4261335933800705</v>
      </c>
      <c r="P30" s="43">
        <f t="shared" si="9"/>
        <v>3.6910725878281325</v>
      </c>
      <c r="Q30" s="43">
        <f t="shared" si="9"/>
        <v>3.9560929718765356</v>
      </c>
      <c r="R30" s="43">
        <f t="shared" si="9"/>
        <v>4.221175784720504</v>
      </c>
      <c r="S30" s="43">
        <f t="shared" si="9"/>
        <v>4.486304079492881</v>
      </c>
      <c r="T30" s="43">
        <f t="shared" si="9"/>
        <v>4.751462884611765</v>
      </c>
      <c r="U30" s="43">
        <f t="shared" si="9"/>
        <v>5.0166391127571766</v>
      </c>
      <c r="V30" s="43">
        <f t="shared" si="9"/>
        <v>5.281821435222608</v>
      </c>
      <c r="W30" s="43">
        <f t="shared" si="9"/>
        <v>5.547000136126245</v>
      </c>
      <c r="X30" s="43">
        <f t="shared" si="9"/>
        <v>5.8121669577072534</v>
      </c>
      <c r="Y30" s="43">
        <f t="shared" si="9"/>
        <v>6.077314944974646</v>
      </c>
      <c r="Z30" s="43">
        <f>Y30+Y29*Z28+Y27*Z28*Z28/2</f>
        <v>6.3424382954666685</v>
      </c>
    </row>
    <row r="31" spans="1:26" s="64" customFormat="1" ht="13.5" customHeight="1" thickBot="1">
      <c r="A31" s="9" t="s">
        <v>77</v>
      </c>
      <c r="B31" s="64">
        <f aca="true" t="shared" si="10" ref="B31:Y31">B22-B30</f>
        <v>0</v>
      </c>
      <c r="C31" s="64">
        <f t="shared" si="10"/>
        <v>0</v>
      </c>
      <c r="D31" s="64">
        <f t="shared" si="10"/>
        <v>-0.00034269459725999596</v>
      </c>
      <c r="E31" s="64">
        <f t="shared" si="10"/>
        <v>-0.0010245091460674427</v>
      </c>
      <c r="F31" s="64">
        <f t="shared" si="10"/>
        <v>-0.0020366321146021438</v>
      </c>
      <c r="G31" s="64">
        <f t="shared" si="10"/>
        <v>-0.00336539372374145</v>
      </c>
      <c r="H31" s="64">
        <f t="shared" si="10"/>
        <v>-0.0049928774625802586</v>
      </c>
      <c r="I31" s="64">
        <f t="shared" si="10"/>
        <v>-0.006897707173551648</v>
      </c>
      <c r="J31" s="64">
        <f t="shared" si="10"/>
        <v>-0.009055938572786193</v>
      </c>
      <c r="K31" s="64">
        <f t="shared" si="10"/>
        <v>-0.011441980956170994</v>
      </c>
      <c r="L31" s="64">
        <f t="shared" si="10"/>
        <v>-0.014029481669907362</v>
      </c>
      <c r="M31" s="64">
        <f t="shared" si="10"/>
        <v>-0.01679212005555364</v>
      </c>
      <c r="N31" s="64">
        <f t="shared" si="10"/>
        <v>-0.019704275453483522</v>
      </c>
      <c r="O31" s="64">
        <f t="shared" si="10"/>
        <v>-0.022741551991127817</v>
      </c>
      <c r="P31" s="64">
        <f t="shared" si="10"/>
        <v>-0.025881158640040258</v>
      </c>
      <c r="Q31" s="64">
        <f t="shared" si="10"/>
        <v>-0.02910215488929424</v>
      </c>
      <c r="R31" s="64">
        <f t="shared" si="10"/>
        <v>-0.03238557993411373</v>
      </c>
      <c r="S31" s="64">
        <f t="shared" si="10"/>
        <v>-0.03571448690734069</v>
      </c>
      <c r="T31" s="64">
        <f t="shared" si="10"/>
        <v>-0.03907390422707557</v>
      </c>
      <c r="U31" s="64">
        <f t="shared" si="10"/>
        <v>-0.04245074457333775</v>
      </c>
      <c r="V31" s="64">
        <f t="shared" si="10"/>
        <v>-0.04583367923961923</v>
      </c>
      <c r="W31" s="64">
        <f t="shared" si="10"/>
        <v>-0.04921299234410714</v>
      </c>
      <c r="X31" s="64">
        <f t="shared" si="10"/>
        <v>-0.05258042612596636</v>
      </c>
      <c r="Y31" s="64">
        <f t="shared" si="10"/>
        <v>-0.055929025594209314</v>
      </c>
      <c r="Z31" s="64">
        <f>Z22-Z30</f>
        <v>-0.05925298828708225</v>
      </c>
    </row>
    <row r="32" spans="9:182" ht="13.5" customHeight="1"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</row>
    <row r="33" spans="1:182" ht="13.5" customHeight="1" thickBot="1">
      <c r="A33" s="10" t="s">
        <v>67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</row>
    <row r="34" spans="1:26" s="39" customFormat="1" ht="13.5" customHeight="1">
      <c r="A34" s="7" t="s">
        <v>34</v>
      </c>
      <c r="B34" s="39">
        <f aca="true" t="shared" si="11" ref="B34:Y34">$B$9*B25-$D$9*B26</f>
        <v>7.14</v>
      </c>
      <c r="C34" s="39">
        <f t="shared" si="11"/>
        <v>6.896710399703948</v>
      </c>
      <c r="D34" s="39">
        <f t="shared" si="11"/>
        <v>6.183421383020892</v>
      </c>
      <c r="E34" s="39">
        <f t="shared" si="11"/>
        <v>5.048742417671949</v>
      </c>
      <c r="F34" s="39">
        <f t="shared" si="11"/>
        <v>3.5700000000000007</v>
      </c>
      <c r="G34" s="39">
        <f t="shared" si="11"/>
        <v>1.847967982031998</v>
      </c>
      <c r="H34" s="39">
        <f t="shared" si="11"/>
        <v>4.3737799840237733E-16</v>
      </c>
      <c r="I34" s="39">
        <f t="shared" si="11"/>
        <v>-1.8479679820319987</v>
      </c>
      <c r="J34" s="39">
        <f t="shared" si="11"/>
        <v>-3.569999999999998</v>
      </c>
      <c r="K34" s="39">
        <f t="shared" si="11"/>
        <v>-5.048742417671948</v>
      </c>
      <c r="L34" s="39">
        <f t="shared" si="11"/>
        <v>-6.183421383020892</v>
      </c>
      <c r="M34" s="39">
        <f t="shared" si="11"/>
        <v>-6.896710399703947</v>
      </c>
      <c r="N34" s="39">
        <f t="shared" si="11"/>
        <v>-7.14</v>
      </c>
      <c r="O34" s="39">
        <f t="shared" si="11"/>
        <v>-6.896710399703948</v>
      </c>
      <c r="P34" s="39">
        <f t="shared" si="11"/>
        <v>-6.1834213830208915</v>
      </c>
      <c r="Q34" s="39">
        <f t="shared" si="11"/>
        <v>-5.04874241767195</v>
      </c>
      <c r="R34" s="39">
        <f t="shared" si="11"/>
        <v>-3.570000000000003</v>
      </c>
      <c r="S34" s="39">
        <f t="shared" si="11"/>
        <v>-1.8479679820319972</v>
      </c>
      <c r="T34" s="39">
        <f t="shared" si="11"/>
        <v>-1.312133995207132E-15</v>
      </c>
      <c r="U34" s="39">
        <f t="shared" si="11"/>
        <v>1.8479679820319947</v>
      </c>
      <c r="V34" s="39">
        <f t="shared" si="11"/>
        <v>3.5700000000000007</v>
      </c>
      <c r="W34" s="39">
        <f t="shared" si="11"/>
        <v>5.0487424176719475</v>
      </c>
      <c r="X34" s="39">
        <f t="shared" si="11"/>
        <v>6.18342138302089</v>
      </c>
      <c r="Y34" s="39">
        <f t="shared" si="11"/>
        <v>6.896710399703948</v>
      </c>
      <c r="Z34" s="39">
        <f>$B$9*Z25-$D$9*Z26</f>
        <v>7.14</v>
      </c>
    </row>
    <row r="35" spans="1:26" s="43" customFormat="1" ht="13.5" customHeight="1">
      <c r="A35" s="5" t="s">
        <v>35</v>
      </c>
      <c r="B35" s="43">
        <f aca="true" t="shared" si="12" ref="B35:Y35">$B$9*B26+$D$9*B25</f>
        <v>0</v>
      </c>
      <c r="C35" s="43">
        <f t="shared" si="12"/>
        <v>1.847967982031998</v>
      </c>
      <c r="D35" s="43">
        <f t="shared" si="12"/>
        <v>3.5699999999999994</v>
      </c>
      <c r="E35" s="43">
        <f t="shared" si="12"/>
        <v>5.048742417671948</v>
      </c>
      <c r="F35" s="43">
        <f t="shared" si="12"/>
        <v>6.1834213830208915</v>
      </c>
      <c r="G35" s="43">
        <f t="shared" si="12"/>
        <v>6.896710399703948</v>
      </c>
      <c r="H35" s="43">
        <f t="shared" si="12"/>
        <v>7.14</v>
      </c>
      <c r="I35" s="43">
        <f t="shared" si="12"/>
        <v>6.896710399703948</v>
      </c>
      <c r="J35" s="43">
        <f t="shared" si="12"/>
        <v>6.183421383020892</v>
      </c>
      <c r="K35" s="43">
        <f t="shared" si="12"/>
        <v>5.048742417671949</v>
      </c>
      <c r="L35" s="43">
        <f t="shared" si="12"/>
        <v>3.5699999999999994</v>
      </c>
      <c r="M35" s="43">
        <f t="shared" si="12"/>
        <v>1.847967982032</v>
      </c>
      <c r="N35" s="43">
        <f t="shared" si="12"/>
        <v>8.747559968047547E-16</v>
      </c>
      <c r="O35" s="43">
        <f t="shared" si="12"/>
        <v>-1.8479679820319983</v>
      </c>
      <c r="P35" s="43">
        <f t="shared" si="12"/>
        <v>-3.5700000000000007</v>
      </c>
      <c r="Q35" s="43">
        <f t="shared" si="12"/>
        <v>-5.048742417671948</v>
      </c>
      <c r="R35" s="43">
        <f t="shared" si="12"/>
        <v>-6.18342138302089</v>
      </c>
      <c r="S35" s="43">
        <f t="shared" si="12"/>
        <v>-6.896710399703948</v>
      </c>
      <c r="T35" s="43">
        <f t="shared" si="12"/>
        <v>-7.14</v>
      </c>
      <c r="U35" s="43">
        <f t="shared" si="12"/>
        <v>-6.896710399703948</v>
      </c>
      <c r="V35" s="43">
        <f t="shared" si="12"/>
        <v>-6.1834213830208915</v>
      </c>
      <c r="W35" s="43">
        <f t="shared" si="12"/>
        <v>-5.04874241767195</v>
      </c>
      <c r="X35" s="43">
        <f t="shared" si="12"/>
        <v>-3.570000000000003</v>
      </c>
      <c r="Y35" s="43">
        <f t="shared" si="12"/>
        <v>-1.8479679820319976</v>
      </c>
      <c r="Z35" s="43">
        <f>$B$9*Z26+$D$9*Z25</f>
        <v>-1.7495119936095093E-15</v>
      </c>
    </row>
    <row r="36" spans="1:256" s="43" customFormat="1" ht="13.5" customHeight="1">
      <c r="A36" s="5" t="s">
        <v>36</v>
      </c>
      <c r="B36" s="42">
        <f>-B29*B35</f>
        <v>0</v>
      </c>
      <c r="C36" s="42">
        <f aca="true" t="shared" si="13" ref="C36:Y36">-C29*C35</f>
        <v>-1.847967982031998</v>
      </c>
      <c r="D36" s="42">
        <f t="shared" si="13"/>
        <v>-3.579346238144429</v>
      </c>
      <c r="E36" s="42">
        <f t="shared" si="13"/>
        <v>-5.088395147895012</v>
      </c>
      <c r="F36" s="42">
        <f t="shared" si="13"/>
        <v>-6.280423529456147</v>
      </c>
      <c r="G36" s="42">
        <f t="shared" si="13"/>
        <v>-7.0765616067262975</v>
      </c>
      <c r="H36" s="42">
        <f t="shared" si="13"/>
        <v>-7.418214510654842</v>
      </c>
      <c r="I36" s="42">
        <f t="shared" si="13"/>
        <v>-7.271024958244415</v>
      </c>
      <c r="J36" s="42">
        <f t="shared" si="13"/>
        <v>-6.628089877873838</v>
      </c>
      <c r="K36" s="42">
        <f t="shared" si="13"/>
        <v>-5.512109778586543</v>
      </c>
      <c r="L36" s="42">
        <f t="shared" si="13"/>
        <v>-3.976123121936353</v>
      </c>
      <c r="M36" s="42">
        <f t="shared" si="13"/>
        <v>-2.1025055008823625</v>
      </c>
      <c r="N36" s="42">
        <f t="shared" si="13"/>
        <v>-1.017862261380134E-15</v>
      </c>
      <c r="O36" s="42">
        <f t="shared" si="13"/>
        <v>2.2013146670646404</v>
      </c>
      <c r="P36" s="42">
        <f t="shared" si="13"/>
        <v>4.3570320362730675</v>
      </c>
      <c r="Q36" s="42">
        <f t="shared" si="13"/>
        <v>6.31711697742866</v>
      </c>
      <c r="R36" s="42">
        <f t="shared" si="13"/>
        <v>7.93581681240988</v>
      </c>
      <c r="S36" s="42">
        <f t="shared" si="13"/>
        <v>9.082138090944964</v>
      </c>
      <c r="T36" s="42">
        <f t="shared" si="13"/>
        <v>9.650122560428722</v>
      </c>
      <c r="U36" s="42">
        <f t="shared" si="13"/>
        <v>9.568097979520054</v>
      </c>
      <c r="V36" s="42">
        <f t="shared" si="13"/>
        <v>8.806092720522559</v>
      </c>
      <c r="W36" s="42">
        <f t="shared" si="13"/>
        <v>7.380689885038654</v>
      </c>
      <c r="X36" s="42">
        <f t="shared" si="13"/>
        <v>5.356752529619562</v>
      </c>
      <c r="Y36" s="42">
        <f t="shared" si="13"/>
        <v>2.8456659596014244</v>
      </c>
      <c r="Z36" s="42">
        <f>-Z29*Z35</f>
        <v>2.764261581128477E-15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43" customFormat="1" ht="13.5" customHeight="1">
      <c r="A37" s="5" t="s">
        <v>37</v>
      </c>
      <c r="B37" s="42">
        <f aca="true" t="shared" si="14" ref="B37:Y37">B29*B34</f>
        <v>7.14</v>
      </c>
      <c r="C37" s="42">
        <f t="shared" si="14"/>
        <v>6.896710399703948</v>
      </c>
      <c r="D37" s="42">
        <f t="shared" si="14"/>
        <v>6.199609542346683</v>
      </c>
      <c r="E37" s="42">
        <f t="shared" si="14"/>
        <v>5.088395147895013</v>
      </c>
      <c r="F37" s="42">
        <f t="shared" si="14"/>
        <v>3.626004215356367</v>
      </c>
      <c r="G37" s="42">
        <f t="shared" si="14"/>
        <v>1.8961589677113992</v>
      </c>
      <c r="H37" s="42">
        <f t="shared" si="14"/>
        <v>4.544207022954742E-16</v>
      </c>
      <c r="I37" s="42">
        <f t="shared" si="14"/>
        <v>-1.948265265708129</v>
      </c>
      <c r="J37" s="42">
        <f t="shared" si="14"/>
        <v>-3.826729475203492</v>
      </c>
      <c r="K37" s="42">
        <f t="shared" si="14"/>
        <v>-5.5121097785865425</v>
      </c>
      <c r="L37" s="42">
        <f t="shared" si="14"/>
        <v>-6.886847264343148</v>
      </c>
      <c r="M37" s="42">
        <f t="shared" si="14"/>
        <v>-7.84665735248602</v>
      </c>
      <c r="N37" s="42">
        <f t="shared" si="14"/>
        <v>-8.308072848657782</v>
      </c>
      <c r="O37" s="42">
        <f t="shared" si="14"/>
        <v>-8.215418180931806</v>
      </c>
      <c r="P37" s="42">
        <f t="shared" si="14"/>
        <v>-7.546600857030235</v>
      </c>
      <c r="Q37" s="42">
        <f t="shared" si="14"/>
        <v>-6.317116977428662</v>
      </c>
      <c r="R37" s="42">
        <f t="shared" si="14"/>
        <v>-4.581745972884407</v>
      </c>
      <c r="S37" s="42">
        <f t="shared" si="14"/>
        <v>-2.4335515670166403</v>
      </c>
      <c r="T37" s="42">
        <f t="shared" si="14"/>
        <v>-1.7734249116882097E-15</v>
      </c>
      <c r="U37" s="42">
        <f t="shared" si="14"/>
        <v>2.5637641267142506</v>
      </c>
      <c r="V37" s="42">
        <f t="shared" si="14"/>
        <v>5.084200002702504</v>
      </c>
      <c r="W37" s="42">
        <f t="shared" si="14"/>
        <v>7.380689885038651</v>
      </c>
      <c r="X37" s="42">
        <f t="shared" si="14"/>
        <v>9.278167544874176</v>
      </c>
      <c r="Y37" s="42">
        <f t="shared" si="14"/>
        <v>10.620169942601764</v>
      </c>
      <c r="Z37" s="42">
        <f>Z29*Z34</f>
        <v>11.281333172536444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43" customFormat="1" ht="13.5" customHeight="1">
      <c r="A38" s="5" t="s">
        <v>38</v>
      </c>
      <c r="B38" s="42">
        <f aca="true" t="shared" si="15" ref="B38:Y38">-B29*B37-B27*B35</f>
        <v>-7.14</v>
      </c>
      <c r="C38" s="42">
        <f t="shared" si="15"/>
        <v>-6.915190079524268</v>
      </c>
      <c r="D38" s="42">
        <f t="shared" si="15"/>
        <v>-6.287240082174484</v>
      </c>
      <c r="E38" s="42">
        <f t="shared" si="15"/>
        <v>-5.279821582463144</v>
      </c>
      <c r="F38" s="42">
        <f t="shared" si="15"/>
        <v>-3.9302238496575694</v>
      </c>
      <c r="G38" s="42">
        <f t="shared" si="15"/>
        <v>-2.2904421894681235</v>
      </c>
      <c r="H38" s="42">
        <f t="shared" si="15"/>
        <v>-0.4284000000000005</v>
      </c>
      <c r="I38" s="42">
        <f t="shared" si="15"/>
        <v>1.5712363925115282</v>
      </c>
      <c r="J38" s="42">
        <f t="shared" si="15"/>
        <v>3.607247431204603</v>
      </c>
      <c r="K38" s="42">
        <f t="shared" si="15"/>
        <v>5.5636176075985615</v>
      </c>
      <c r="L38" s="42">
        <f t="shared" si="15"/>
        <v>7.313294858543113</v>
      </c>
      <c r="M38" s="42">
        <f t="shared" si="15"/>
        <v>8.724172702670788</v>
      </c>
      <c r="N38" s="42">
        <f t="shared" si="15"/>
        <v>9.667237319132301</v>
      </c>
      <c r="O38" s="42">
        <f t="shared" si="15"/>
        <v>10.026509579197821</v>
      </c>
      <c r="P38" s="42">
        <f t="shared" si="15"/>
        <v>9.710102996931798</v>
      </c>
      <c r="Q38" s="42">
        <f t="shared" si="15"/>
        <v>8.661451365285085</v>
      </c>
      <c r="R38" s="42">
        <f t="shared" si="15"/>
        <v>6.86957043530084</v>
      </c>
      <c r="S38" s="42">
        <f t="shared" si="15"/>
        <v>4.377135485017883</v>
      </c>
      <c r="T38" s="42">
        <f t="shared" si="15"/>
        <v>1.2852000000000026</v>
      </c>
      <c r="U38" s="42">
        <f t="shared" si="15"/>
        <v>-2.2464434112446727</v>
      </c>
      <c r="V38" s="42">
        <f t="shared" si="15"/>
        <v>-6.003957086835635</v>
      </c>
      <c r="W38" s="42">
        <f t="shared" si="15"/>
        <v>-9.72949719264201</v>
      </c>
      <c r="X38" s="42">
        <f t="shared" si="15"/>
        <v>-13.136406012952047</v>
      </c>
      <c r="Y38" s="42">
        <f t="shared" si="15"/>
        <v>-15.928852488058325</v>
      </c>
      <c r="Z38" s="42">
        <f>-Z29*Z37-Z27*Z35</f>
        <v>-17.82471682769905</v>
      </c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64" customFormat="1" ht="13.5" customHeight="1" thickBot="1">
      <c r="A39" s="6" t="s">
        <v>39</v>
      </c>
      <c r="B39" s="65">
        <f aca="true" t="shared" si="16" ref="B39:Y39">B29*B36+B27*B34</f>
        <v>0</v>
      </c>
      <c r="C39" s="65">
        <f t="shared" si="16"/>
        <v>-1.7790008780349587</v>
      </c>
      <c r="D39" s="65">
        <f t="shared" si="16"/>
        <v>-3.4650485170226855</v>
      </c>
      <c r="E39" s="65">
        <f t="shared" si="16"/>
        <v>-4.976897037402825</v>
      </c>
      <c r="F39" s="65">
        <f t="shared" si="16"/>
        <v>-6.2361473927258535</v>
      </c>
      <c r="G39" s="65">
        <f t="shared" si="16"/>
        <v>-7.168704542953549</v>
      </c>
      <c r="H39" s="65">
        <f t="shared" si="16"/>
        <v>-7.7072698215812405</v>
      </c>
      <c r="I39" s="65">
        <f t="shared" si="16"/>
        <v>-7.7950129594713635</v>
      </c>
      <c r="J39" s="65">
        <f t="shared" si="16"/>
        <v>-7.390335826318695</v>
      </c>
      <c r="K39" s="65">
        <f t="shared" si="16"/>
        <v>-6.472391242779514</v>
      </c>
      <c r="L39" s="65">
        <f t="shared" si="16"/>
        <v>-5.046788939645756</v>
      </c>
      <c r="M39" s="65">
        <f t="shared" si="16"/>
        <v>-3.150740942404364</v>
      </c>
      <c r="N39" s="65">
        <f t="shared" si="16"/>
        <v>-0.856800000000001</v>
      </c>
      <c r="O39" s="65">
        <f t="shared" si="16"/>
        <v>1.7256517939923324</v>
      </c>
      <c r="P39" s="65">
        <f t="shared" si="16"/>
        <v>4.451891920973667</v>
      </c>
      <c r="Q39" s="65">
        <f t="shared" si="16"/>
        <v>7.146828639983498</v>
      </c>
      <c r="R39" s="65">
        <f t="shared" si="16"/>
        <v>9.613645020114092</v>
      </c>
      <c r="S39" s="65">
        <f t="shared" si="16"/>
        <v>11.645928949900702</v>
      </c>
      <c r="T39" s="65">
        <f t="shared" si="16"/>
        <v>13.042698239677227</v>
      </c>
      <c r="U39" s="65">
        <f t="shared" si="16"/>
        <v>13.62534085086849</v>
      </c>
      <c r="V39" s="65">
        <f t="shared" si="16"/>
        <v>13.255158720862545</v>
      </c>
      <c r="W39" s="65">
        <f t="shared" si="16"/>
        <v>11.849969008064233</v>
      </c>
      <c r="X39" s="65">
        <f t="shared" si="16"/>
        <v>9.398111153448223</v>
      </c>
      <c r="Y39" s="65">
        <f t="shared" si="16"/>
        <v>5.968253703999145</v>
      </c>
      <c r="Z39" s="65">
        <f>Z29*Z36+Z27*Z34</f>
        <v>1.713600000000005</v>
      </c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9:182" ht="13.5" customHeight="1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</row>
    <row r="41" spans="1:182" ht="13.5" customHeight="1" thickBot="1">
      <c r="A41" s="10" t="s">
        <v>68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</row>
    <row r="42" spans="1:26" s="39" customFormat="1" ht="13.5" customHeight="1">
      <c r="A42" s="7" t="s">
        <v>40</v>
      </c>
      <c r="B42" s="39">
        <f aca="true" t="shared" si="17" ref="B42:Y42">$B$12*B25-$D$12*B26</f>
        <v>7.14</v>
      </c>
      <c r="C42" s="39">
        <f t="shared" si="17"/>
        <v>6.896710399703948</v>
      </c>
      <c r="D42" s="39">
        <f t="shared" si="17"/>
        <v>6.183421383020892</v>
      </c>
      <c r="E42" s="39">
        <f t="shared" si="17"/>
        <v>5.048742417671949</v>
      </c>
      <c r="F42" s="39">
        <f t="shared" si="17"/>
        <v>3.5700000000000007</v>
      </c>
      <c r="G42" s="39">
        <f t="shared" si="17"/>
        <v>1.847967982031998</v>
      </c>
      <c r="H42" s="39">
        <f t="shared" si="17"/>
        <v>4.3737799840237733E-16</v>
      </c>
      <c r="I42" s="39">
        <f t="shared" si="17"/>
        <v>-1.8479679820319987</v>
      </c>
      <c r="J42" s="39">
        <f t="shared" si="17"/>
        <v>-3.569999999999998</v>
      </c>
      <c r="K42" s="39">
        <f t="shared" si="17"/>
        <v>-5.048742417671948</v>
      </c>
      <c r="L42" s="39">
        <f t="shared" si="17"/>
        <v>-6.183421383020892</v>
      </c>
      <c r="M42" s="39">
        <f t="shared" si="17"/>
        <v>-6.896710399703947</v>
      </c>
      <c r="N42" s="39">
        <f t="shared" si="17"/>
        <v>-7.14</v>
      </c>
      <c r="O42" s="39">
        <f t="shared" si="17"/>
        <v>-6.896710399703948</v>
      </c>
      <c r="P42" s="39">
        <f t="shared" si="17"/>
        <v>-6.1834213830208915</v>
      </c>
      <c r="Q42" s="39">
        <f t="shared" si="17"/>
        <v>-5.04874241767195</v>
      </c>
      <c r="R42" s="39">
        <f t="shared" si="17"/>
        <v>-3.570000000000003</v>
      </c>
      <c r="S42" s="39">
        <f t="shared" si="17"/>
        <v>-1.8479679820319972</v>
      </c>
      <c r="T42" s="39">
        <f t="shared" si="17"/>
        <v>-1.312133995207132E-15</v>
      </c>
      <c r="U42" s="39">
        <f t="shared" si="17"/>
        <v>1.8479679820319947</v>
      </c>
      <c r="V42" s="39">
        <f t="shared" si="17"/>
        <v>3.5700000000000007</v>
      </c>
      <c r="W42" s="39">
        <f t="shared" si="17"/>
        <v>5.0487424176719475</v>
      </c>
      <c r="X42" s="39">
        <f t="shared" si="17"/>
        <v>6.18342138302089</v>
      </c>
      <c r="Y42" s="39">
        <f t="shared" si="17"/>
        <v>6.896710399703948</v>
      </c>
      <c r="Z42" s="39">
        <f>$B$12*Z25-$D$12*Z26</f>
        <v>7.14</v>
      </c>
    </row>
    <row r="43" spans="1:26" s="43" customFormat="1" ht="13.5" customHeight="1">
      <c r="A43" s="5" t="s">
        <v>41</v>
      </c>
      <c r="B43" s="43">
        <f aca="true" t="shared" si="18" ref="B43:Y43">$B$12*B26+$D$12*B25</f>
        <v>0</v>
      </c>
      <c r="C43" s="43">
        <f t="shared" si="18"/>
        <v>1.847967982031998</v>
      </c>
      <c r="D43" s="43">
        <f t="shared" si="18"/>
        <v>3.5699999999999994</v>
      </c>
      <c r="E43" s="43">
        <f t="shared" si="18"/>
        <v>5.048742417671948</v>
      </c>
      <c r="F43" s="43">
        <f t="shared" si="18"/>
        <v>6.1834213830208915</v>
      </c>
      <c r="G43" s="43">
        <f t="shared" si="18"/>
        <v>6.896710399703948</v>
      </c>
      <c r="H43" s="43">
        <f t="shared" si="18"/>
        <v>7.14</v>
      </c>
      <c r="I43" s="43">
        <f t="shared" si="18"/>
        <v>6.896710399703948</v>
      </c>
      <c r="J43" s="43">
        <f t="shared" si="18"/>
        <v>6.183421383020892</v>
      </c>
      <c r="K43" s="43">
        <f t="shared" si="18"/>
        <v>5.048742417671949</v>
      </c>
      <c r="L43" s="43">
        <f t="shared" si="18"/>
        <v>3.5699999999999994</v>
      </c>
      <c r="M43" s="43">
        <f t="shared" si="18"/>
        <v>1.847967982032</v>
      </c>
      <c r="N43" s="43">
        <f t="shared" si="18"/>
        <v>8.747559968047547E-16</v>
      </c>
      <c r="O43" s="43">
        <f t="shared" si="18"/>
        <v>-1.8479679820319983</v>
      </c>
      <c r="P43" s="43">
        <f t="shared" si="18"/>
        <v>-3.5700000000000007</v>
      </c>
      <c r="Q43" s="43">
        <f t="shared" si="18"/>
        <v>-5.048742417671948</v>
      </c>
      <c r="R43" s="43">
        <f t="shared" si="18"/>
        <v>-6.18342138302089</v>
      </c>
      <c r="S43" s="43">
        <f t="shared" si="18"/>
        <v>-6.896710399703948</v>
      </c>
      <c r="T43" s="43">
        <f t="shared" si="18"/>
        <v>-7.14</v>
      </c>
      <c r="U43" s="43">
        <f t="shared" si="18"/>
        <v>-6.896710399703948</v>
      </c>
      <c r="V43" s="43">
        <f t="shared" si="18"/>
        <v>-6.1834213830208915</v>
      </c>
      <c r="W43" s="43">
        <f t="shared" si="18"/>
        <v>-5.04874241767195</v>
      </c>
      <c r="X43" s="43">
        <f t="shared" si="18"/>
        <v>-3.570000000000003</v>
      </c>
      <c r="Y43" s="43">
        <f t="shared" si="18"/>
        <v>-1.8479679820319976</v>
      </c>
      <c r="Z43" s="43">
        <f>$B$12*Z26+$D$12*Z25</f>
        <v>-1.7495119936095093E-15</v>
      </c>
    </row>
    <row r="44" spans="1:26" s="43" customFormat="1" ht="13.5" customHeight="1">
      <c r="A44" s="5" t="s">
        <v>42</v>
      </c>
      <c r="B44" s="43">
        <f aca="true" t="shared" si="19" ref="B44:Y44">-B29*B43</f>
        <v>0</v>
      </c>
      <c r="C44" s="43">
        <f t="shared" si="19"/>
        <v>-1.847967982031998</v>
      </c>
      <c r="D44" s="43">
        <f t="shared" si="19"/>
        <v>-3.579346238144429</v>
      </c>
      <c r="E44" s="43">
        <f t="shared" si="19"/>
        <v>-5.088395147895012</v>
      </c>
      <c r="F44" s="43">
        <f t="shared" si="19"/>
        <v>-6.280423529456147</v>
      </c>
      <c r="G44" s="43">
        <f t="shared" si="19"/>
        <v>-7.0765616067262975</v>
      </c>
      <c r="H44" s="43">
        <f t="shared" si="19"/>
        <v>-7.418214510654842</v>
      </c>
      <c r="I44" s="43">
        <f t="shared" si="19"/>
        <v>-7.271024958244415</v>
      </c>
      <c r="J44" s="43">
        <f t="shared" si="19"/>
        <v>-6.628089877873838</v>
      </c>
      <c r="K44" s="43">
        <f t="shared" si="19"/>
        <v>-5.512109778586543</v>
      </c>
      <c r="L44" s="43">
        <f t="shared" si="19"/>
        <v>-3.976123121936353</v>
      </c>
      <c r="M44" s="43">
        <f t="shared" si="19"/>
        <v>-2.1025055008823625</v>
      </c>
      <c r="N44" s="43">
        <f t="shared" si="19"/>
        <v>-1.017862261380134E-15</v>
      </c>
      <c r="O44" s="43">
        <f t="shared" si="19"/>
        <v>2.2013146670646404</v>
      </c>
      <c r="P44" s="43">
        <f t="shared" si="19"/>
        <v>4.3570320362730675</v>
      </c>
      <c r="Q44" s="43">
        <f t="shared" si="19"/>
        <v>6.31711697742866</v>
      </c>
      <c r="R44" s="43">
        <f t="shared" si="19"/>
        <v>7.93581681240988</v>
      </c>
      <c r="S44" s="43">
        <f t="shared" si="19"/>
        <v>9.082138090944964</v>
      </c>
      <c r="T44" s="43">
        <f t="shared" si="19"/>
        <v>9.650122560428722</v>
      </c>
      <c r="U44" s="43">
        <f t="shared" si="19"/>
        <v>9.568097979520054</v>
      </c>
      <c r="V44" s="43">
        <f t="shared" si="19"/>
        <v>8.806092720522559</v>
      </c>
      <c r="W44" s="43">
        <f t="shared" si="19"/>
        <v>7.380689885038654</v>
      </c>
      <c r="X44" s="43">
        <f t="shared" si="19"/>
        <v>5.356752529619562</v>
      </c>
      <c r="Y44" s="43">
        <f t="shared" si="19"/>
        <v>2.8456659596014244</v>
      </c>
      <c r="Z44" s="43">
        <f>-Z29*Z43</f>
        <v>2.764261581128477E-15</v>
      </c>
    </row>
    <row r="45" spans="1:26" s="43" customFormat="1" ht="13.5" customHeight="1">
      <c r="A45" s="5" t="s">
        <v>43</v>
      </c>
      <c r="B45" s="43">
        <f aca="true" t="shared" si="20" ref="B45:Y45">B29*B42</f>
        <v>7.14</v>
      </c>
      <c r="C45" s="43">
        <f t="shared" si="20"/>
        <v>6.896710399703948</v>
      </c>
      <c r="D45" s="43">
        <f t="shared" si="20"/>
        <v>6.199609542346683</v>
      </c>
      <c r="E45" s="43">
        <f t="shared" si="20"/>
        <v>5.088395147895013</v>
      </c>
      <c r="F45" s="43">
        <f t="shared" si="20"/>
        <v>3.626004215356367</v>
      </c>
      <c r="G45" s="43">
        <f t="shared" si="20"/>
        <v>1.8961589677113992</v>
      </c>
      <c r="H45" s="43">
        <f t="shared" si="20"/>
        <v>4.544207022954742E-16</v>
      </c>
      <c r="I45" s="43">
        <f t="shared" si="20"/>
        <v>-1.948265265708129</v>
      </c>
      <c r="J45" s="43">
        <f t="shared" si="20"/>
        <v>-3.826729475203492</v>
      </c>
      <c r="K45" s="43">
        <f t="shared" si="20"/>
        <v>-5.5121097785865425</v>
      </c>
      <c r="L45" s="43">
        <f t="shared" si="20"/>
        <v>-6.886847264343148</v>
      </c>
      <c r="M45" s="43">
        <f t="shared" si="20"/>
        <v>-7.84665735248602</v>
      </c>
      <c r="N45" s="43">
        <f t="shared" si="20"/>
        <v>-8.308072848657782</v>
      </c>
      <c r="O45" s="43">
        <f t="shared" si="20"/>
        <v>-8.215418180931806</v>
      </c>
      <c r="P45" s="43">
        <f t="shared" si="20"/>
        <v>-7.546600857030235</v>
      </c>
      <c r="Q45" s="43">
        <f t="shared" si="20"/>
        <v>-6.317116977428662</v>
      </c>
      <c r="R45" s="43">
        <f t="shared" si="20"/>
        <v>-4.581745972884407</v>
      </c>
      <c r="S45" s="43">
        <f t="shared" si="20"/>
        <v>-2.4335515670166403</v>
      </c>
      <c r="T45" s="43">
        <f t="shared" si="20"/>
        <v>-1.7734249116882097E-15</v>
      </c>
      <c r="U45" s="43">
        <f t="shared" si="20"/>
        <v>2.5637641267142506</v>
      </c>
      <c r="V45" s="43">
        <f t="shared" si="20"/>
        <v>5.084200002702504</v>
      </c>
      <c r="W45" s="43">
        <f t="shared" si="20"/>
        <v>7.380689885038651</v>
      </c>
      <c r="X45" s="43">
        <f t="shared" si="20"/>
        <v>9.278167544874176</v>
      </c>
      <c r="Y45" s="43">
        <f t="shared" si="20"/>
        <v>10.620169942601764</v>
      </c>
      <c r="Z45" s="43">
        <f>Z29*Z42</f>
        <v>11.281333172536444</v>
      </c>
    </row>
    <row r="46" spans="1:26" s="43" customFormat="1" ht="13.5" customHeight="1">
      <c r="A46" s="5" t="s">
        <v>44</v>
      </c>
      <c r="B46" s="43">
        <f aca="true" t="shared" si="21" ref="B46:Y46">-B29*B45-B27*B43</f>
        <v>-7.14</v>
      </c>
      <c r="C46" s="43">
        <f t="shared" si="21"/>
        <v>-6.915190079524268</v>
      </c>
      <c r="D46" s="43">
        <f t="shared" si="21"/>
        <v>-6.287240082174484</v>
      </c>
      <c r="E46" s="43">
        <f t="shared" si="21"/>
        <v>-5.279821582463144</v>
      </c>
      <c r="F46" s="43">
        <f t="shared" si="21"/>
        <v>-3.9302238496575694</v>
      </c>
      <c r="G46" s="43">
        <f t="shared" si="21"/>
        <v>-2.2904421894681235</v>
      </c>
      <c r="H46" s="43">
        <f t="shared" si="21"/>
        <v>-0.4284000000000005</v>
      </c>
      <c r="I46" s="43">
        <f t="shared" si="21"/>
        <v>1.5712363925115282</v>
      </c>
      <c r="J46" s="43">
        <f t="shared" si="21"/>
        <v>3.607247431204603</v>
      </c>
      <c r="K46" s="43">
        <f t="shared" si="21"/>
        <v>5.5636176075985615</v>
      </c>
      <c r="L46" s="43">
        <f t="shared" si="21"/>
        <v>7.313294858543113</v>
      </c>
      <c r="M46" s="43">
        <f t="shared" si="21"/>
        <v>8.724172702670788</v>
      </c>
      <c r="N46" s="43">
        <f t="shared" si="21"/>
        <v>9.667237319132301</v>
      </c>
      <c r="O46" s="43">
        <f t="shared" si="21"/>
        <v>10.026509579197821</v>
      </c>
      <c r="P46" s="43">
        <f t="shared" si="21"/>
        <v>9.710102996931798</v>
      </c>
      <c r="Q46" s="43">
        <f t="shared" si="21"/>
        <v>8.661451365285085</v>
      </c>
      <c r="R46" s="43">
        <f t="shared" si="21"/>
        <v>6.86957043530084</v>
      </c>
      <c r="S46" s="43">
        <f t="shared" si="21"/>
        <v>4.377135485017883</v>
      </c>
      <c r="T46" s="43">
        <f t="shared" si="21"/>
        <v>1.2852000000000026</v>
      </c>
      <c r="U46" s="43">
        <f t="shared" si="21"/>
        <v>-2.2464434112446727</v>
      </c>
      <c r="V46" s="43">
        <f t="shared" si="21"/>
        <v>-6.003957086835635</v>
      </c>
      <c r="W46" s="43">
        <f t="shared" si="21"/>
        <v>-9.72949719264201</v>
      </c>
      <c r="X46" s="43">
        <f t="shared" si="21"/>
        <v>-13.136406012952047</v>
      </c>
      <c r="Y46" s="43">
        <f t="shared" si="21"/>
        <v>-15.928852488058325</v>
      </c>
      <c r="Z46" s="43">
        <f>-Z29*Z45-Z27*Z43</f>
        <v>-17.82471682769905</v>
      </c>
    </row>
    <row r="47" spans="1:26" s="64" customFormat="1" ht="13.5" customHeight="1" thickBot="1">
      <c r="A47" s="6" t="s">
        <v>45</v>
      </c>
      <c r="B47" s="64">
        <f aca="true" t="shared" si="22" ref="B47:Y47">B29*B44+B27*B42</f>
        <v>0</v>
      </c>
      <c r="C47" s="64">
        <f t="shared" si="22"/>
        <v>-1.7790008780349587</v>
      </c>
      <c r="D47" s="64">
        <f t="shared" si="22"/>
        <v>-3.4650485170226855</v>
      </c>
      <c r="E47" s="64">
        <f t="shared" si="22"/>
        <v>-4.976897037402825</v>
      </c>
      <c r="F47" s="64">
        <f t="shared" si="22"/>
        <v>-6.2361473927258535</v>
      </c>
      <c r="G47" s="64">
        <f t="shared" si="22"/>
        <v>-7.168704542953549</v>
      </c>
      <c r="H47" s="64">
        <f t="shared" si="22"/>
        <v>-7.7072698215812405</v>
      </c>
      <c r="I47" s="64">
        <f t="shared" si="22"/>
        <v>-7.7950129594713635</v>
      </c>
      <c r="J47" s="64">
        <f t="shared" si="22"/>
        <v>-7.390335826318695</v>
      </c>
      <c r="K47" s="64">
        <f t="shared" si="22"/>
        <v>-6.472391242779514</v>
      </c>
      <c r="L47" s="64">
        <f t="shared" si="22"/>
        <v>-5.046788939645756</v>
      </c>
      <c r="M47" s="64">
        <f t="shared" si="22"/>
        <v>-3.150740942404364</v>
      </c>
      <c r="N47" s="64">
        <f t="shared" si="22"/>
        <v>-0.856800000000001</v>
      </c>
      <c r="O47" s="64">
        <f t="shared" si="22"/>
        <v>1.7256517939923324</v>
      </c>
      <c r="P47" s="64">
        <f t="shared" si="22"/>
        <v>4.451891920973667</v>
      </c>
      <c r="Q47" s="64">
        <f t="shared" si="22"/>
        <v>7.146828639983498</v>
      </c>
      <c r="R47" s="64">
        <f t="shared" si="22"/>
        <v>9.613645020114092</v>
      </c>
      <c r="S47" s="64">
        <f t="shared" si="22"/>
        <v>11.645928949900702</v>
      </c>
      <c r="T47" s="64">
        <f t="shared" si="22"/>
        <v>13.042698239677227</v>
      </c>
      <c r="U47" s="64">
        <f t="shared" si="22"/>
        <v>13.62534085086849</v>
      </c>
      <c r="V47" s="64">
        <f t="shared" si="22"/>
        <v>13.255158720862545</v>
      </c>
      <c r="W47" s="64">
        <f t="shared" si="22"/>
        <v>11.849969008064233</v>
      </c>
      <c r="X47" s="64">
        <f t="shared" si="22"/>
        <v>9.398111153448223</v>
      </c>
      <c r="Y47" s="64">
        <f t="shared" si="22"/>
        <v>5.968253703999145</v>
      </c>
      <c r="Z47" s="64">
        <f>Z29*Z44+Z27*Z42</f>
        <v>1.713600000000005</v>
      </c>
    </row>
    <row r="48" spans="1:182" ht="13.5" customHeight="1">
      <c r="A48" s="2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</row>
    <row r="49" spans="1:182" ht="13.5" customHeight="1" thickBot="1">
      <c r="A49" s="10" t="s">
        <v>66</v>
      </c>
      <c r="F49" s="60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</row>
    <row r="50" spans="1:26" s="39" customFormat="1" ht="13.5" customHeight="1">
      <c r="A50" s="7" t="s">
        <v>49</v>
      </c>
      <c r="B50" s="39">
        <f aca="true" t="shared" si="23" ref="B50:Y50">$F$6-$B$6*COS(RADIANS(B21))</f>
        <v>5.06</v>
      </c>
      <c r="C50" s="39">
        <f t="shared" si="23"/>
        <v>5.3032896002960515</v>
      </c>
      <c r="D50" s="39">
        <f t="shared" si="23"/>
        <v>6.016578616979107</v>
      </c>
      <c r="E50" s="39">
        <f t="shared" si="23"/>
        <v>7.15125758232805</v>
      </c>
      <c r="F50" s="39">
        <f t="shared" si="23"/>
        <v>8.629999999999999</v>
      </c>
      <c r="G50" s="39">
        <f t="shared" si="23"/>
        <v>10.352032017968002</v>
      </c>
      <c r="H50" s="39">
        <f t="shared" si="23"/>
        <v>12.2</v>
      </c>
      <c r="I50" s="39">
        <f t="shared" si="23"/>
        <v>14.047967982031999</v>
      </c>
      <c r="J50" s="39">
        <f t="shared" si="23"/>
        <v>15.769999999999998</v>
      </c>
      <c r="K50" s="39">
        <f t="shared" si="23"/>
        <v>17.24874241767195</v>
      </c>
      <c r="L50" s="39">
        <f t="shared" si="23"/>
        <v>18.38342138302089</v>
      </c>
      <c r="M50" s="39">
        <f t="shared" si="23"/>
        <v>19.096710399703944</v>
      </c>
      <c r="N50" s="39">
        <f t="shared" si="23"/>
        <v>19.34</v>
      </c>
      <c r="O50" s="39">
        <f t="shared" si="23"/>
        <v>19.096710399703948</v>
      </c>
      <c r="P50" s="39">
        <f t="shared" si="23"/>
        <v>18.38342138302089</v>
      </c>
      <c r="Q50" s="39">
        <f t="shared" si="23"/>
        <v>17.24874241767195</v>
      </c>
      <c r="R50" s="39">
        <f t="shared" si="23"/>
        <v>15.770000000000003</v>
      </c>
      <c r="S50" s="39">
        <f t="shared" si="23"/>
        <v>14.047967982031997</v>
      </c>
      <c r="T50" s="39">
        <f t="shared" si="23"/>
        <v>12.200000000000001</v>
      </c>
      <c r="U50" s="39">
        <f t="shared" si="23"/>
        <v>10.352032017968005</v>
      </c>
      <c r="V50" s="39">
        <f t="shared" si="23"/>
        <v>8.629999999999999</v>
      </c>
      <c r="W50" s="39">
        <f t="shared" si="23"/>
        <v>7.151257582328052</v>
      </c>
      <c r="X50" s="39">
        <f t="shared" si="23"/>
        <v>6.01657861697911</v>
      </c>
      <c r="Y50" s="39">
        <f t="shared" si="23"/>
        <v>5.3032896002960515</v>
      </c>
      <c r="Z50" s="39">
        <f>$F$6-$B$6*COS(RADIANS(Z21))</f>
        <v>5.06</v>
      </c>
    </row>
    <row r="51" spans="1:26" s="43" customFormat="1" ht="13.5" customHeight="1">
      <c r="A51" s="5" t="s">
        <v>50</v>
      </c>
      <c r="B51" s="43">
        <f aca="true" t="shared" si="24" ref="B51:Y51">$F$7-$B$6*SIN(RADIANS(B21))</f>
        <v>-21.3</v>
      </c>
      <c r="C51" s="43">
        <f t="shared" si="24"/>
        <v>-23.147967982032</v>
      </c>
      <c r="D51" s="43">
        <f t="shared" si="24"/>
        <v>-24.87</v>
      </c>
      <c r="E51" s="43">
        <f t="shared" si="24"/>
        <v>-26.34874241767195</v>
      </c>
      <c r="F51" s="43">
        <f t="shared" si="24"/>
        <v>-27.483421383020893</v>
      </c>
      <c r="G51" s="43">
        <f t="shared" si="24"/>
        <v>-28.19671039970395</v>
      </c>
      <c r="H51" s="43">
        <f t="shared" si="24"/>
        <v>-28.44</v>
      </c>
      <c r="I51" s="43">
        <f t="shared" si="24"/>
        <v>-28.19671039970395</v>
      </c>
      <c r="J51" s="43">
        <f t="shared" si="24"/>
        <v>-27.483421383020893</v>
      </c>
      <c r="K51" s="43">
        <f t="shared" si="24"/>
        <v>-26.34874241767195</v>
      </c>
      <c r="L51" s="43">
        <f t="shared" si="24"/>
        <v>-24.87</v>
      </c>
      <c r="M51" s="43">
        <f t="shared" si="24"/>
        <v>-23.147967982032</v>
      </c>
      <c r="N51" s="43">
        <f t="shared" si="24"/>
        <v>-21.3</v>
      </c>
      <c r="O51" s="43">
        <f t="shared" si="24"/>
        <v>-19.452032017968</v>
      </c>
      <c r="P51" s="43">
        <f t="shared" si="24"/>
        <v>-17.73</v>
      </c>
      <c r="Q51" s="43">
        <f t="shared" si="24"/>
        <v>-16.25125758232805</v>
      </c>
      <c r="R51" s="43">
        <f t="shared" si="24"/>
        <v>-15.116578616979112</v>
      </c>
      <c r="S51" s="43">
        <f t="shared" si="24"/>
        <v>-14.403289600296052</v>
      </c>
      <c r="T51" s="43">
        <f t="shared" si="24"/>
        <v>-14.16</v>
      </c>
      <c r="U51" s="43">
        <f t="shared" si="24"/>
        <v>-14.403289600296052</v>
      </c>
      <c r="V51" s="43">
        <f t="shared" si="24"/>
        <v>-15.116578616979108</v>
      </c>
      <c r="W51" s="43">
        <f t="shared" si="24"/>
        <v>-16.25125758232805</v>
      </c>
      <c r="X51" s="43">
        <f t="shared" si="24"/>
        <v>-17.729999999999997</v>
      </c>
      <c r="Y51" s="43">
        <f t="shared" si="24"/>
        <v>-19.452032017968</v>
      </c>
      <c r="Z51" s="43">
        <f>$F$7-$B$6*SIN(RADIANS(Z21))</f>
        <v>-21.3</v>
      </c>
    </row>
    <row r="52" spans="1:26" s="43" customFormat="1" ht="13.5" customHeight="1">
      <c r="A52" s="5" t="s">
        <v>51</v>
      </c>
      <c r="B52" s="43">
        <f aca="true" t="shared" si="25" ref="B52:Y52">(B50^2+B51^2+$B$7^2-$B$8^2)/(2*$B$7)</f>
        <v>7.961463414634145</v>
      </c>
      <c r="C52" s="43">
        <f t="shared" si="25"/>
        <v>10.026334201994803</v>
      </c>
      <c r="D52" s="43">
        <f t="shared" si="25"/>
        <v>12.240061420836351</v>
      </c>
      <c r="E52" s="43">
        <f t="shared" si="25"/>
        <v>14.45178321955194</v>
      </c>
      <c r="F52" s="43">
        <f t="shared" si="25"/>
        <v>16.510774412602196</v>
      </c>
      <c r="G52" s="43">
        <f t="shared" si="25"/>
        <v>18.27671815282457</v>
      </c>
      <c r="H52" s="43">
        <f t="shared" si="25"/>
        <v>19.62926829268293</v>
      </c>
      <c r="I52" s="43">
        <f t="shared" si="25"/>
        <v>20.476250775340713</v>
      </c>
      <c r="J52" s="43">
        <f t="shared" si="25"/>
        <v>20.75994514430951</v>
      </c>
      <c r="K52" s="43">
        <f t="shared" si="25"/>
        <v>20.461018097171234</v>
      </c>
      <c r="L52" s="43">
        <f t="shared" si="25"/>
        <v>19.599841018188048</v>
      </c>
      <c r="M52" s="43">
        <f t="shared" si="25"/>
        <v>18.23510170213023</v>
      </c>
      <c r="N52" s="43">
        <f t="shared" si="25"/>
        <v>16.45980487804878</v>
      </c>
      <c r="O52" s="43">
        <f t="shared" si="25"/>
        <v>14.394934090688125</v>
      </c>
      <c r="P52" s="43">
        <f t="shared" si="25"/>
        <v>12.181206871846578</v>
      </c>
      <c r="Q52" s="43">
        <f t="shared" si="25"/>
        <v>9.969485073130988</v>
      </c>
      <c r="R52" s="43">
        <f t="shared" si="25"/>
        <v>7.910493880080735</v>
      </c>
      <c r="S52" s="43">
        <f t="shared" si="25"/>
        <v>6.144550139858355</v>
      </c>
      <c r="T52" s="43">
        <f t="shared" si="25"/>
        <v>4.7920000000000025</v>
      </c>
      <c r="U52" s="43">
        <f t="shared" si="25"/>
        <v>3.9450175173422215</v>
      </c>
      <c r="V52" s="43">
        <f t="shared" si="25"/>
        <v>3.661323148373415</v>
      </c>
      <c r="W52" s="43">
        <f t="shared" si="25"/>
        <v>3.960250195511693</v>
      </c>
      <c r="X52" s="43">
        <f t="shared" si="25"/>
        <v>4.821427274494881</v>
      </c>
      <c r="Y52" s="43">
        <f t="shared" si="25"/>
        <v>6.186166590552694</v>
      </c>
      <c r="Z52" s="43">
        <f>(Z50^2+Z51^2+$B$7^2-$B$8^2)/(2*$B$7)</f>
        <v>7.961463414634145</v>
      </c>
    </row>
    <row r="53" spans="1:26" s="43" customFormat="1" ht="13.5" customHeight="1">
      <c r="A53" s="5" t="s">
        <v>52</v>
      </c>
      <c r="B53" s="43">
        <f aca="true" t="shared" si="26" ref="B53:Y53">B50^2+B51^2-B52^2</f>
        <v>415.90870029744207</v>
      </c>
      <c r="C53" s="43">
        <f t="shared" si="26"/>
        <v>463.42592475169613</v>
      </c>
      <c r="D53" s="43">
        <f t="shared" si="26"/>
        <v>504.89701466844394</v>
      </c>
      <c r="E53" s="43">
        <f t="shared" si="26"/>
        <v>536.5426737767064</v>
      </c>
      <c r="F53" s="43">
        <f t="shared" si="26"/>
        <v>557.2096792128507</v>
      </c>
      <c r="G53" s="43">
        <f t="shared" si="26"/>
        <v>568.1806178280203</v>
      </c>
      <c r="H53" s="43">
        <f t="shared" si="26"/>
        <v>572.3654262938726</v>
      </c>
      <c r="I53" s="43">
        <f t="shared" si="26"/>
        <v>573.1230359743279</v>
      </c>
      <c r="J53" s="43">
        <f t="shared" si="26"/>
        <v>573.05602852195</v>
      </c>
      <c r="K53" s="43">
        <f t="shared" si="26"/>
        <v>573.1220804112518</v>
      </c>
      <c r="L53" s="43">
        <f t="shared" si="26"/>
        <v>572.3133138074631</v>
      </c>
      <c r="M53" s="43">
        <f t="shared" si="26"/>
        <v>567.9938357003067</v>
      </c>
      <c r="N53" s="43">
        <f t="shared" si="26"/>
        <v>556.8004233765616</v>
      </c>
      <c r="O53" s="43">
        <f t="shared" si="26"/>
        <v>535.851770242958</v>
      </c>
      <c r="P53" s="43">
        <f t="shared" si="26"/>
        <v>503.9212808909874</v>
      </c>
      <c r="Q53" s="43">
        <f t="shared" si="26"/>
        <v>462.2318553749889</v>
      </c>
      <c r="R53" s="43">
        <f t="shared" si="26"/>
        <v>414.62793565651543</v>
      </c>
      <c r="S53" s="43">
        <f t="shared" si="26"/>
        <v>367.04465931295925</v>
      </c>
      <c r="T53" s="43">
        <f t="shared" si="26"/>
        <v>326.382336</v>
      </c>
      <c r="U53" s="43">
        <f t="shared" si="26"/>
        <v>299.0561549988941</v>
      </c>
      <c r="V53" s="43">
        <f t="shared" si="26"/>
        <v>289.58256188649494</v>
      </c>
      <c r="W53" s="43">
        <f t="shared" si="26"/>
        <v>299.560276404929</v>
      </c>
      <c r="X53" s="43">
        <f t="shared" si="26"/>
        <v>327.305957291047</v>
      </c>
      <c r="Y53" s="43">
        <f t="shared" si="26"/>
        <v>368.2377731265902</v>
      </c>
      <c r="Z53" s="43">
        <f>Z50^2+Z51^2-Z52^2</f>
        <v>415.90870029744207</v>
      </c>
    </row>
    <row r="54" spans="1:26" s="43" customFormat="1" ht="13.5" customHeight="1">
      <c r="A54" s="5" t="s">
        <v>53</v>
      </c>
      <c r="B54" s="43">
        <f aca="true" t="shared" si="27" ref="B54:Y54">(B51+SQRT(B53))/(B50+B52)</f>
        <v>-0.06958973870229547</v>
      </c>
      <c r="C54" s="43">
        <f t="shared" si="27"/>
        <v>-0.10571937614157731</v>
      </c>
      <c r="D54" s="43">
        <f t="shared" si="27"/>
        <v>-0.13146375516912437</v>
      </c>
      <c r="E54" s="43">
        <f t="shared" si="27"/>
        <v>-0.14744922428975998</v>
      </c>
      <c r="F54" s="43">
        <f t="shared" si="27"/>
        <v>-0.15425667078712732</v>
      </c>
      <c r="G54" s="43">
        <f t="shared" si="27"/>
        <v>-0.15230042601927576</v>
      </c>
      <c r="H54" s="43">
        <f t="shared" si="27"/>
        <v>-0.14187696907062888</v>
      </c>
      <c r="I54" s="43">
        <f t="shared" si="27"/>
        <v>-0.12329669817025521</v>
      </c>
      <c r="J54" s="43">
        <f t="shared" si="27"/>
        <v>-0.09703909157024979</v>
      </c>
      <c r="K54" s="43">
        <f t="shared" si="27"/>
        <v>-0.06387667601833168</v>
      </c>
      <c r="L54" s="43">
        <f t="shared" si="27"/>
        <v>-0.024930171776994227</v>
      </c>
      <c r="M54" s="43">
        <f t="shared" si="27"/>
        <v>0.018339674142812755</v>
      </c>
      <c r="N54" s="43">
        <f t="shared" si="27"/>
        <v>0.06415171548998551</v>
      </c>
      <c r="O54" s="43">
        <f t="shared" si="27"/>
        <v>0.110369029270708</v>
      </c>
      <c r="P54" s="43">
        <f t="shared" si="27"/>
        <v>0.15436768930849956</v>
      </c>
      <c r="Q54" s="43">
        <f t="shared" si="27"/>
        <v>0.19282374090233848</v>
      </c>
      <c r="R54" s="43">
        <f t="shared" si="27"/>
        <v>0.2215256231220147</v>
      </c>
      <c r="S54" s="43">
        <f t="shared" si="27"/>
        <v>0.23548920420875036</v>
      </c>
      <c r="T54" s="43">
        <f t="shared" si="27"/>
        <v>0.22987610634339498</v>
      </c>
      <c r="U54" s="43">
        <f t="shared" si="27"/>
        <v>0.20213615024855028</v>
      </c>
      <c r="V54" s="43">
        <f t="shared" si="27"/>
        <v>0.15462508854418117</v>
      </c>
      <c r="W54" s="43">
        <f t="shared" si="27"/>
        <v>0.09508629547233911</v>
      </c>
      <c r="X54" s="43">
        <f t="shared" si="27"/>
        <v>0.03336398634234723</v>
      </c>
      <c r="Y54" s="43">
        <f t="shared" si="27"/>
        <v>-0.022847864214000837</v>
      </c>
      <c r="Z54" s="43">
        <f>(Z51+SQRT(Z53))/(Z50+Z52)</f>
        <v>-0.06958973870229547</v>
      </c>
    </row>
    <row r="55" spans="1:26" s="43" customFormat="1" ht="13.5" customHeight="1">
      <c r="A55" s="5" t="s">
        <v>54</v>
      </c>
      <c r="B55" s="43">
        <f aca="true" t="shared" si="28" ref="B55:Y55">ATAN(B54)</f>
        <v>-0.0694777291699227</v>
      </c>
      <c r="C55" s="43">
        <f t="shared" si="28"/>
        <v>-0.10532813586406238</v>
      </c>
      <c r="D55" s="43">
        <f t="shared" si="28"/>
        <v>-0.13071416257279042</v>
      </c>
      <c r="E55" s="43">
        <f t="shared" si="28"/>
        <v>-0.1463943727804837</v>
      </c>
      <c r="F55" s="43">
        <f t="shared" si="28"/>
        <v>-0.15305032885336542</v>
      </c>
      <c r="G55" s="43">
        <f t="shared" si="28"/>
        <v>-0.1511389902277709</v>
      </c>
      <c r="H55" s="43">
        <f t="shared" si="28"/>
        <v>-0.14093635275723168</v>
      </c>
      <c r="I55" s="43">
        <f t="shared" si="28"/>
        <v>-0.12267754727831148</v>
      </c>
      <c r="J55" s="43">
        <f t="shared" si="28"/>
        <v>-0.09673620871658731</v>
      </c>
      <c r="K55" s="43">
        <f t="shared" si="28"/>
        <v>-0.06379001091667331</v>
      </c>
      <c r="L55" s="43">
        <f t="shared" si="28"/>
        <v>-0.024925008889659934</v>
      </c>
      <c r="M55" s="43">
        <f t="shared" si="28"/>
        <v>0.018337618413356346</v>
      </c>
      <c r="N55" s="43">
        <f t="shared" si="28"/>
        <v>0.06406392792478548</v>
      </c>
      <c r="O55" s="43">
        <f t="shared" si="28"/>
        <v>0.10992412953449734</v>
      </c>
      <c r="P55" s="43">
        <f t="shared" si="28"/>
        <v>0.15315876525993244</v>
      </c>
      <c r="Q55" s="43">
        <f t="shared" si="28"/>
        <v>0.19048588483632503</v>
      </c>
      <c r="R55" s="43">
        <f t="shared" si="28"/>
        <v>0.21800503006778643</v>
      </c>
      <c r="S55" s="43">
        <f t="shared" si="28"/>
        <v>0.23127551166658894</v>
      </c>
      <c r="T55" s="43">
        <f t="shared" si="28"/>
        <v>0.22595071584157617</v>
      </c>
      <c r="U55" s="43">
        <f t="shared" si="28"/>
        <v>0.19944870415952204</v>
      </c>
      <c r="V55" s="43">
        <f t="shared" si="28"/>
        <v>0.1534101638281941</v>
      </c>
      <c r="W55" s="43">
        <f t="shared" si="28"/>
        <v>0.09480126891506907</v>
      </c>
      <c r="X55" s="43">
        <f t="shared" si="28"/>
        <v>0.03335161483490313</v>
      </c>
      <c r="Y55" s="43">
        <f t="shared" si="28"/>
        <v>-0.022843889740787004</v>
      </c>
      <c r="Z55" s="43">
        <f>ATAN(Z54)</f>
        <v>-0.0694777291699227</v>
      </c>
    </row>
    <row r="56" spans="1:26" s="43" customFormat="1" ht="13.5" customHeight="1">
      <c r="A56" s="5" t="s">
        <v>55</v>
      </c>
      <c r="B56" s="43">
        <f aca="true" t="shared" si="29" ref="B56:Y56">2*B55</f>
        <v>-0.1389554583398454</v>
      </c>
      <c r="C56" s="43">
        <f t="shared" si="29"/>
        <v>-0.21065627172812476</v>
      </c>
      <c r="D56" s="43">
        <f t="shared" si="29"/>
        <v>-0.26142832514558084</v>
      </c>
      <c r="E56" s="43">
        <f t="shared" si="29"/>
        <v>-0.2927887455609674</v>
      </c>
      <c r="F56" s="43">
        <f t="shared" si="29"/>
        <v>-0.30610065770673084</v>
      </c>
      <c r="G56" s="43">
        <f t="shared" si="29"/>
        <v>-0.3022779804555418</v>
      </c>
      <c r="H56" s="43">
        <f t="shared" si="29"/>
        <v>-0.28187270551446336</v>
      </c>
      <c r="I56" s="43">
        <f t="shared" si="29"/>
        <v>-0.24535509455662297</v>
      </c>
      <c r="J56" s="43">
        <f t="shared" si="29"/>
        <v>-0.19347241743317461</v>
      </c>
      <c r="K56" s="43">
        <f t="shared" si="29"/>
        <v>-0.12758002183334663</v>
      </c>
      <c r="L56" s="43">
        <f t="shared" si="29"/>
        <v>-0.04985001777931987</v>
      </c>
      <c r="M56" s="43">
        <f t="shared" si="29"/>
        <v>0.03667523682671269</v>
      </c>
      <c r="N56" s="43">
        <f t="shared" si="29"/>
        <v>0.12812785584957095</v>
      </c>
      <c r="O56" s="43">
        <f t="shared" si="29"/>
        <v>0.2198482590689947</v>
      </c>
      <c r="P56" s="43">
        <f t="shared" si="29"/>
        <v>0.3063175305198649</v>
      </c>
      <c r="Q56" s="43">
        <f t="shared" si="29"/>
        <v>0.38097176967265006</v>
      </c>
      <c r="R56" s="43">
        <f t="shared" si="29"/>
        <v>0.43601006013557286</v>
      </c>
      <c r="S56" s="43">
        <f t="shared" si="29"/>
        <v>0.4625510233331779</v>
      </c>
      <c r="T56" s="43">
        <f t="shared" si="29"/>
        <v>0.45190143168315233</v>
      </c>
      <c r="U56" s="43">
        <f t="shared" si="29"/>
        <v>0.3988974083190441</v>
      </c>
      <c r="V56" s="43">
        <f t="shared" si="29"/>
        <v>0.3068203276563882</v>
      </c>
      <c r="W56" s="43">
        <f t="shared" si="29"/>
        <v>0.18960253783013814</v>
      </c>
      <c r="X56" s="43">
        <f t="shared" si="29"/>
        <v>0.06670322966980625</v>
      </c>
      <c r="Y56" s="43">
        <f t="shared" si="29"/>
        <v>-0.04568777948157401</v>
      </c>
      <c r="Z56" s="43">
        <f>2*Z55</f>
        <v>-0.1389554583398454</v>
      </c>
    </row>
    <row r="57" spans="1:26" s="134" customFormat="1" ht="13.5" customHeight="1">
      <c r="A57" s="133" t="s">
        <v>56</v>
      </c>
      <c r="B57" s="134">
        <f>(C56-B56)/RADIANS($F$12)*B29</f>
        <v>-0.273876932986901</v>
      </c>
      <c r="C57" s="134">
        <f aca="true" t="shared" si="30" ref="C57:X57">(D56-C56)/RADIANS($F$12)*C29</f>
        <v>-0.19393495853553344</v>
      </c>
      <c r="D57" s="134">
        <f t="shared" si="30"/>
        <v>-0.12010158644132413</v>
      </c>
      <c r="E57" s="134">
        <f t="shared" si="30"/>
        <v>-0.05124711624445188</v>
      </c>
      <c r="F57" s="134">
        <f t="shared" si="30"/>
        <v>0.014830612715576518</v>
      </c>
      <c r="G57" s="134">
        <f t="shared" si="30"/>
        <v>0.07997497743025823</v>
      </c>
      <c r="H57" s="134">
        <f t="shared" si="30"/>
        <v>0.14492219613693122</v>
      </c>
      <c r="I57" s="134">
        <f t="shared" si="30"/>
        <v>0.2089331712949301</v>
      </c>
      <c r="J57" s="134">
        <f t="shared" si="30"/>
        <v>0.26979022847166995</v>
      </c>
      <c r="K57" s="134">
        <f t="shared" si="30"/>
        <v>0.3241564802919175</v>
      </c>
      <c r="L57" s="134">
        <f t="shared" si="30"/>
        <v>0.36810004212820235</v>
      </c>
      <c r="M57" s="134">
        <f t="shared" si="30"/>
        <v>0.3974387599080975</v>
      </c>
      <c r="N57" s="134">
        <f t="shared" si="30"/>
        <v>0.40766123218752065</v>
      </c>
      <c r="O57" s="134">
        <f t="shared" si="30"/>
        <v>0.39344212593846173</v>
      </c>
      <c r="P57" s="134">
        <f t="shared" si="30"/>
        <v>0.3480233507918241</v>
      </c>
      <c r="Q57" s="134">
        <f t="shared" si="30"/>
        <v>0.2630461891043418</v>
      </c>
      <c r="R57" s="134">
        <f t="shared" si="30"/>
        <v>0.13011005002004578</v>
      </c>
      <c r="S57" s="134">
        <f t="shared" si="30"/>
        <v>-0.05356861769522009</v>
      </c>
      <c r="T57" s="134">
        <f t="shared" si="30"/>
        <v>-0.2736370044049883</v>
      </c>
      <c r="U57" s="134">
        <f t="shared" si="30"/>
        <v>-0.48794013137929027</v>
      </c>
      <c r="V57" s="134">
        <f t="shared" si="30"/>
        <v>-0.637645519129634</v>
      </c>
      <c r="W57" s="134">
        <f t="shared" si="30"/>
        <v>-0.6862692749133472</v>
      </c>
      <c r="X57" s="134">
        <f t="shared" si="30"/>
        <v>-0.6441637943250716</v>
      </c>
      <c r="Y57" s="134">
        <f>(Проверка!Q56-Y56)/RADIANS($F$12)*Y29</f>
        <v>-0.5485952190604101</v>
      </c>
      <c r="Z57" s="134">
        <f>(Проверка!R56-Z56)/RADIANS($F$12)*Z29</f>
        <v>0.8386276903336753</v>
      </c>
    </row>
    <row r="58" spans="1:26" s="43" customFormat="1" ht="13.5" customHeight="1">
      <c r="A58" s="5" t="s">
        <v>57</v>
      </c>
      <c r="B58" s="43">
        <f aca="true" t="shared" si="31" ref="B58:Y58">ACOS(($B$7*COS(B56)-B50)/$B$8)</f>
        <v>0.8805956585865192</v>
      </c>
      <c r="C58" s="43">
        <f t="shared" si="31"/>
        <v>0.9073273717254444</v>
      </c>
      <c r="D58" s="43">
        <f t="shared" si="31"/>
        <v>0.9571007974029322</v>
      </c>
      <c r="E58" s="43">
        <f t="shared" si="31"/>
        <v>1.0225991266361336</v>
      </c>
      <c r="F58" s="43">
        <f t="shared" si="31"/>
        <v>1.0972803967001088</v>
      </c>
      <c r="G58" s="43">
        <f t="shared" si="31"/>
        <v>1.17551541621675</v>
      </c>
      <c r="H58" s="43">
        <f t="shared" si="31"/>
        <v>1.252544180987716</v>
      </c>
      <c r="I58" s="43">
        <f t="shared" si="31"/>
        <v>1.3244492009703266</v>
      </c>
      <c r="J58" s="43">
        <f t="shared" si="31"/>
        <v>1.3881823158996567</v>
      </c>
      <c r="K58" s="43">
        <f t="shared" si="31"/>
        <v>1.4415879874989357</v>
      </c>
      <c r="L58" s="43">
        <f t="shared" si="31"/>
        <v>1.4833368175622508</v>
      </c>
      <c r="M58" s="43">
        <f t="shared" si="31"/>
        <v>1.5127225805196813</v>
      </c>
      <c r="N58" s="43">
        <f t="shared" si="31"/>
        <v>1.5293492723614592</v>
      </c>
      <c r="O58" s="43">
        <f t="shared" si="31"/>
        <v>1.5327810756288458</v>
      </c>
      <c r="P58" s="43">
        <f t="shared" si="31"/>
        <v>1.5222261277431441</v>
      </c>
      <c r="Q58" s="43">
        <f t="shared" si="31"/>
        <v>1.4963129227050895</v>
      </c>
      <c r="R58" s="43">
        <f t="shared" si="31"/>
        <v>1.45305999001455</v>
      </c>
      <c r="S58" s="43">
        <f t="shared" si="31"/>
        <v>1.3902926025092257</v>
      </c>
      <c r="T58" s="43">
        <f t="shared" si="31"/>
        <v>1.3070050075567141</v>
      </c>
      <c r="U58" s="43">
        <f t="shared" si="31"/>
        <v>1.2061029394452158</v>
      </c>
      <c r="V58" s="43">
        <f t="shared" si="31"/>
        <v>1.09748928750043</v>
      </c>
      <c r="W58" s="43">
        <f t="shared" si="31"/>
        <v>0.997688543811993</v>
      </c>
      <c r="X58" s="43">
        <f t="shared" si="31"/>
        <v>0.9234345255329285</v>
      </c>
      <c r="Y58" s="43">
        <f t="shared" si="31"/>
        <v>0.8842242653269239</v>
      </c>
      <c r="Z58" s="43">
        <f>ACOS(($B$7*COS(Z56)-Z50)/$B$8)</f>
        <v>0.8805956585865192</v>
      </c>
    </row>
    <row r="59" spans="1:26" s="134" customFormat="1" ht="13.5" customHeight="1">
      <c r="A59" s="133" t="s">
        <v>81</v>
      </c>
      <c r="B59" s="134">
        <f aca="true" t="shared" si="32" ref="B59:X59">(C58-B58)/RADIANS($F$12)*B29</f>
        <v>0.10210762280098826</v>
      </c>
      <c r="C59" s="134">
        <f t="shared" si="32"/>
        <v>0.19012048154854197</v>
      </c>
      <c r="D59" s="134">
        <f t="shared" si="32"/>
        <v>0.2508401719737176</v>
      </c>
      <c r="E59" s="134">
        <f t="shared" si="32"/>
        <v>0.28750187699141777</v>
      </c>
      <c r="F59" s="134">
        <f t="shared" si="32"/>
        <v>0.30352373454650583</v>
      </c>
      <c r="G59" s="134">
        <f t="shared" si="32"/>
        <v>0.3019010398942021</v>
      </c>
      <c r="H59" s="134">
        <f t="shared" si="32"/>
        <v>0.2853591222377738</v>
      </c>
      <c r="I59" s="134">
        <f t="shared" si="32"/>
        <v>0.256655256763361</v>
      </c>
      <c r="J59" s="134">
        <f t="shared" si="32"/>
        <v>0.2186645091788114</v>
      </c>
      <c r="K59" s="134">
        <f t="shared" si="32"/>
        <v>0.17410463275189464</v>
      </c>
      <c r="L59" s="134">
        <f t="shared" si="32"/>
        <v>0.1250143744950668</v>
      </c>
      <c r="M59" s="134">
        <f t="shared" si="32"/>
        <v>0.07225699884350627</v>
      </c>
      <c r="N59" s="134">
        <f t="shared" si="32"/>
        <v>0.015253020042455472</v>
      </c>
      <c r="O59" s="134">
        <f t="shared" si="32"/>
        <v>-0.04802586011933308</v>
      </c>
      <c r="P59" s="134">
        <f t="shared" si="32"/>
        <v>-0.12080225516253067</v>
      </c>
      <c r="Q59" s="134">
        <f t="shared" si="32"/>
        <v>-0.20672006735924386</v>
      </c>
      <c r="R59" s="134">
        <f t="shared" si="32"/>
        <v>-0.30770051060853276</v>
      </c>
      <c r="S59" s="134">
        <f t="shared" si="32"/>
        <v>-0.4189457661275428</v>
      </c>
      <c r="T59" s="134">
        <f t="shared" si="32"/>
        <v>-0.5209140345182738</v>
      </c>
      <c r="U59" s="134">
        <f t="shared" si="32"/>
        <v>-0.5755716755800395</v>
      </c>
      <c r="V59" s="134">
        <f t="shared" si="32"/>
        <v>-0.5428996495588746</v>
      </c>
      <c r="W59" s="134">
        <f t="shared" si="32"/>
        <v>-0.41463415902469497</v>
      </c>
      <c r="X59" s="134">
        <f t="shared" si="32"/>
        <v>-0.22473176619273288</v>
      </c>
      <c r="Y59" s="134">
        <f>(Проверка!Q58-Y58)/RADIANS($F$12)*Y29</f>
        <v>-0.021343259894580698</v>
      </c>
      <c r="Z59" s="134">
        <f>(Проверка!R58-Z58)/RADIANS($F$12)*Z29</f>
        <v>-5.314594418249724</v>
      </c>
    </row>
    <row r="60" spans="1:26" s="119" customFormat="1" ht="13.5" customHeight="1">
      <c r="A60" s="135" t="s">
        <v>58</v>
      </c>
      <c r="B60" s="119">
        <f aca="true" t="shared" si="33" ref="B60:Y60">-B29*$B$6*SIN(RADIANS(B21)-B58)/($B$7*SIN(B56-B58))</f>
        <v>-0.31527569023961455</v>
      </c>
      <c r="C60" s="119">
        <f t="shared" si="33"/>
        <v>-0.23302407457356195</v>
      </c>
      <c r="D60" s="119">
        <f t="shared" si="33"/>
        <v>-0.15628060576662425</v>
      </c>
      <c r="E60" s="119">
        <f t="shared" si="33"/>
        <v>-0.08525114396567435</v>
      </c>
      <c r="F60" s="119">
        <f t="shared" si="33"/>
        <v>-0.01796084164129997</v>
      </c>
      <c r="G60" s="119">
        <f t="shared" si="33"/>
        <v>0.04776791845061713</v>
      </c>
      <c r="H60" s="119">
        <f t="shared" si="33"/>
        <v>0.11330477010088642</v>
      </c>
      <c r="I60" s="119">
        <f t="shared" si="33"/>
        <v>0.1786625515391042</v>
      </c>
      <c r="J60" s="119">
        <f t="shared" si="33"/>
        <v>0.2422955496844414</v>
      </c>
      <c r="K60" s="119">
        <f t="shared" si="33"/>
        <v>0.30128783782837454</v>
      </c>
      <c r="L60" s="119">
        <f t="shared" si="33"/>
        <v>0.3518503412579707</v>
      </c>
      <c r="M60" s="119">
        <f t="shared" si="33"/>
        <v>0.38981974546855996</v>
      </c>
      <c r="N60" s="119">
        <f t="shared" si="33"/>
        <v>0.41081630065930763</v>
      </c>
      <c r="O60" s="119">
        <f t="shared" si="33"/>
        <v>0.4099351008539607</v>
      </c>
      <c r="P60" s="119">
        <f t="shared" si="33"/>
        <v>0.3811232811243045</v>
      </c>
      <c r="Q60" s="119">
        <f t="shared" si="33"/>
        <v>0.31664519090658655</v>
      </c>
      <c r="R60" s="119">
        <f t="shared" si="33"/>
        <v>0.20748732117890797</v>
      </c>
      <c r="S60" s="119">
        <f t="shared" si="33"/>
        <v>0.046541894084625154</v>
      </c>
      <c r="T60" s="119">
        <f t="shared" si="33"/>
        <v>-0.16264913700656014</v>
      </c>
      <c r="U60" s="119">
        <f t="shared" si="33"/>
        <v>-0.3921940315768398</v>
      </c>
      <c r="V60" s="119">
        <f t="shared" si="33"/>
        <v>-0.5860168095261493</v>
      </c>
      <c r="W60" s="119">
        <f t="shared" si="33"/>
        <v>-0.6884612613177415</v>
      </c>
      <c r="X60" s="119">
        <f t="shared" si="33"/>
        <v>-0.6862625134733646</v>
      </c>
      <c r="Y60" s="119">
        <f t="shared" si="33"/>
        <v>-0.6096426123518507</v>
      </c>
      <c r="Z60" s="119">
        <f>-Z29*$B$6*SIN(RADIANS(Z21)-Z58)/($B$7*SIN(Z56-Z58))</f>
        <v>-0.49814147097962025</v>
      </c>
    </row>
    <row r="61" spans="1:26" s="119" customFormat="1" ht="13.5" customHeight="1">
      <c r="A61" s="135" t="s">
        <v>59</v>
      </c>
      <c r="B61" s="119">
        <f aca="true" t="shared" si="34" ref="B61:Y61">-B29*$B$6*SIN(RADIANS(B21)-B56)/($B$8*SIN(B56-B58))</f>
        <v>0.048492694350505725</v>
      </c>
      <c r="C61" s="119">
        <f t="shared" si="34"/>
        <v>0.15093514087930252</v>
      </c>
      <c r="D61" s="119">
        <f t="shared" si="34"/>
        <v>0.2251936275494566</v>
      </c>
      <c r="E61" s="119">
        <f t="shared" si="34"/>
        <v>0.27372835015802927</v>
      </c>
      <c r="F61" s="119">
        <f t="shared" si="34"/>
        <v>0.2999816607323438</v>
      </c>
      <c r="G61" s="119">
        <f t="shared" si="34"/>
        <v>0.30709971252209683</v>
      </c>
      <c r="H61" s="119">
        <f t="shared" si="34"/>
        <v>0.29783548361461265</v>
      </c>
      <c r="I61" s="119">
        <f t="shared" si="34"/>
        <v>0.27485522338241725</v>
      </c>
      <c r="J61" s="119">
        <f t="shared" si="34"/>
        <v>0.24097786638113036</v>
      </c>
      <c r="K61" s="119">
        <f t="shared" si="34"/>
        <v>0.19908056052325768</v>
      </c>
      <c r="L61" s="119">
        <f t="shared" si="34"/>
        <v>0.15165346100650692</v>
      </c>
      <c r="M61" s="119">
        <f t="shared" si="34"/>
        <v>0.1002325816288073</v>
      </c>
      <c r="N61" s="119">
        <f t="shared" si="34"/>
        <v>0.044988875835864424</v>
      </c>
      <c r="O61" s="119">
        <f t="shared" si="34"/>
        <v>-0.015409190315641228</v>
      </c>
      <c r="P61" s="119">
        <f t="shared" si="34"/>
        <v>-0.08368333705937096</v>
      </c>
      <c r="Q61" s="119">
        <f t="shared" si="34"/>
        <v>-0.1635081211210329</v>
      </c>
      <c r="R61" s="119">
        <f t="shared" si="34"/>
        <v>-0.25823959305481003</v>
      </c>
      <c r="S61" s="119">
        <f t="shared" si="34"/>
        <v>-0.36755819724670397</v>
      </c>
      <c r="T61" s="119">
        <f t="shared" si="34"/>
        <v>-0.4805381189436573</v>
      </c>
      <c r="U61" s="119">
        <f t="shared" si="34"/>
        <v>-0.5674284962395438</v>
      </c>
      <c r="V61" s="119">
        <f t="shared" si="34"/>
        <v>-0.5835540713208841</v>
      </c>
      <c r="W61" s="119">
        <f t="shared" si="34"/>
        <v>-0.49916485122487625</v>
      </c>
      <c r="X61" s="119">
        <f t="shared" si="34"/>
        <v>-0.3296151364481762</v>
      </c>
      <c r="Y61" s="119">
        <f t="shared" si="34"/>
        <v>-0.12286148849826249</v>
      </c>
      <c r="Z61" s="119">
        <f>-Z29*$B$6*SIN(RADIANS(Z21)-Z56)/($B$8*SIN(Z56-Z58))</f>
        <v>0.07661936154090053</v>
      </c>
    </row>
    <row r="62" spans="1:26" s="43" customFormat="1" ht="13.5" customHeight="1">
      <c r="A62" s="5" t="s">
        <v>60</v>
      </c>
      <c r="B62" s="43">
        <f aca="true" t="shared" si="35" ref="B62:Y62">B27*$B$6*SIN(RADIANS(B21))+B29^2*$B$6*COS(RADIANS(B21))+B60^2*$B$7*COS(B56)-B61^2*$B$8*COS(B58)</f>
        <v>9.122190743123884</v>
      </c>
      <c r="C62" s="43">
        <f t="shared" si="35"/>
        <v>7.667858446559049</v>
      </c>
      <c r="D62" s="43">
        <f t="shared" si="35"/>
        <v>6.071750091748203</v>
      </c>
      <c r="E62" s="43">
        <f t="shared" si="35"/>
        <v>4.487654360648165</v>
      </c>
      <c r="F62" s="43">
        <f t="shared" si="35"/>
        <v>2.954112947200187</v>
      </c>
      <c r="G62" s="43">
        <f t="shared" si="35"/>
        <v>1.4656974697846117</v>
      </c>
      <c r="H62" s="43">
        <f t="shared" si="35"/>
        <v>0.016696591814152506</v>
      </c>
      <c r="I62" s="43">
        <f t="shared" si="35"/>
        <v>-1.3775076932571966</v>
      </c>
      <c r="J62" s="43">
        <f t="shared" si="35"/>
        <v>-2.678667430052578</v>
      </c>
      <c r="K62" s="43">
        <f t="shared" si="35"/>
        <v>-3.8401211513486335</v>
      </c>
      <c r="L62" s="43">
        <f t="shared" si="35"/>
        <v>-4.826667976518674</v>
      </c>
      <c r="M62" s="43">
        <f t="shared" si="35"/>
        <v>-5.625058887434606</v>
      </c>
      <c r="N62" s="43">
        <f t="shared" si="35"/>
        <v>-6.23781975091178</v>
      </c>
      <c r="O62" s="43">
        <f t="shared" si="35"/>
        <v>-6.664684752019575</v>
      </c>
      <c r="P62" s="43">
        <f t="shared" si="35"/>
        <v>-6.879127721924928</v>
      </c>
      <c r="Q62" s="43">
        <f t="shared" si="35"/>
        <v>-6.801029153093998</v>
      </c>
      <c r="R62" s="43">
        <f t="shared" si="35"/>
        <v>-6.2571251219372215</v>
      </c>
      <c r="S62" s="43">
        <f t="shared" si="35"/>
        <v>-4.918028665710951</v>
      </c>
      <c r="T62" s="43">
        <f t="shared" si="35"/>
        <v>-2.2387411462082905</v>
      </c>
      <c r="U62" s="43">
        <f t="shared" si="35"/>
        <v>2.402926593695334</v>
      </c>
      <c r="V62" s="43">
        <f t="shared" si="35"/>
        <v>8.999066730018498</v>
      </c>
      <c r="W62" s="43">
        <f t="shared" si="35"/>
        <v>16.037427062383966</v>
      </c>
      <c r="X62" s="43">
        <f t="shared" si="35"/>
        <v>21.200923857103938</v>
      </c>
      <c r="Y62" s="43">
        <f t="shared" si="35"/>
        <v>23.310945652748376</v>
      </c>
      <c r="Z62" s="43">
        <f>Z27*$B$6*SIN(RADIANS(Z21))+Z29^2*$B$6*COS(RADIANS(Z21))+Z60^2*$B$7*COS(Z56)-Z61^2*$B$8*COS(Z58)</f>
        <v>22.77317462807294</v>
      </c>
    </row>
    <row r="63" spans="1:26" s="43" customFormat="1" ht="13.5" customHeight="1">
      <c r="A63" s="5" t="s">
        <v>61</v>
      </c>
      <c r="B63" s="43">
        <f aca="true" t="shared" si="36" ref="B63:Y63">-B27*$B$6*COS(RADIANS(B21))+B29^2*$B$6*SIN(RADIANS(B21))+B60^2*$B$7*SIN(B56)-B61^2*$B$8*SIN(B58)</f>
        <v>-0.3256464916465016</v>
      </c>
      <c r="C63" s="43">
        <f t="shared" si="36"/>
        <v>1.1165493450635098</v>
      </c>
      <c r="D63" s="43">
        <f t="shared" si="36"/>
        <v>2.3431251800884914</v>
      </c>
      <c r="E63" s="43">
        <f t="shared" si="36"/>
        <v>3.402985373529755</v>
      </c>
      <c r="F63" s="43">
        <f t="shared" si="36"/>
        <v>4.31685864367145</v>
      </c>
      <c r="G63" s="43">
        <f t="shared" si="36"/>
        <v>5.071093928780218</v>
      </c>
      <c r="H63" s="43">
        <f t="shared" si="36"/>
        <v>5.617084613161621</v>
      </c>
      <c r="I63" s="43">
        <f t="shared" si="36"/>
        <v>5.882111020270223</v>
      </c>
      <c r="J63" s="43">
        <f t="shared" si="36"/>
        <v>5.791854475412086</v>
      </c>
      <c r="K63" s="43">
        <f t="shared" si="36"/>
        <v>5.294717806396377</v>
      </c>
      <c r="L63" s="43">
        <f t="shared" si="36"/>
        <v>4.371842167820341</v>
      </c>
      <c r="M63" s="43">
        <f t="shared" si="36"/>
        <v>3.024855436113802</v>
      </c>
      <c r="N63" s="43">
        <f t="shared" si="36"/>
        <v>1.2504700834384397</v>
      </c>
      <c r="O63" s="43">
        <f t="shared" si="36"/>
        <v>-0.9800500937033839</v>
      </c>
      <c r="P63" s="43">
        <f t="shared" si="36"/>
        <v>-3.7214112893756717</v>
      </c>
      <c r="Q63" s="43">
        <f t="shared" si="36"/>
        <v>-7.020837445401828</v>
      </c>
      <c r="R63" s="43">
        <f t="shared" si="36"/>
        <v>-10.826373823646422</v>
      </c>
      <c r="S63" s="43">
        <f t="shared" si="36"/>
        <v>-14.807838326858757</v>
      </c>
      <c r="T63" s="43">
        <f t="shared" si="36"/>
        <v>-18.142801086418288</v>
      </c>
      <c r="U63" s="43">
        <f t="shared" si="36"/>
        <v>-19.60176534407892</v>
      </c>
      <c r="V63" s="43">
        <f t="shared" si="36"/>
        <v>-18.38505423438371</v>
      </c>
      <c r="W63" s="43">
        <f t="shared" si="36"/>
        <v>-15.030632343780368</v>
      </c>
      <c r="X63" s="43">
        <f t="shared" si="36"/>
        <v>-10.829345786373967</v>
      </c>
      <c r="Y63" s="43">
        <f t="shared" si="36"/>
        <v>-6.595727390894835</v>
      </c>
      <c r="Z63" s="43">
        <f>-Z27*$B$6*COS(RADIANS(Z21))+Z29^2*$B$6*SIN(RADIANS(Z21))+Z60^2*$B$7*SIN(Z56)-Z61^2*$B$8*SIN(Z58)</f>
        <v>-2.526563095172631</v>
      </c>
    </row>
    <row r="64" spans="1:26" s="43" customFormat="1" ht="13.5" customHeight="1">
      <c r="A64" s="5" t="s">
        <v>62</v>
      </c>
      <c r="B64" s="43">
        <f aca="true" t="shared" si="37" ref="B64:Y64">(B62*COS(B58)+B63*SIN(B58))/$B$7/SIN(B58-B56)</f>
        <v>0.31820346453905013</v>
      </c>
      <c r="C64" s="43">
        <f t="shared" si="37"/>
        <v>0.3038927912874107</v>
      </c>
      <c r="D64" s="43">
        <f t="shared" si="37"/>
        <v>0.28128458821931795</v>
      </c>
      <c r="E64" s="43">
        <f t="shared" si="37"/>
        <v>0.26433442324106</v>
      </c>
      <c r="F64" s="43">
        <f t="shared" si="37"/>
        <v>0.2567113801170294</v>
      </c>
      <c r="G64" s="43">
        <f t="shared" si="37"/>
        <v>0.2569370429325676</v>
      </c>
      <c r="H64" s="43">
        <f t="shared" si="37"/>
        <v>0.2606720057230569</v>
      </c>
      <c r="I64" s="43">
        <f t="shared" si="37"/>
        <v>0.261883304959701</v>
      </c>
      <c r="J64" s="43">
        <f t="shared" si="37"/>
        <v>0.25411749525319655</v>
      </c>
      <c r="K64" s="43">
        <f t="shared" si="37"/>
        <v>0.23198986412960151</v>
      </c>
      <c r="L64" s="43">
        <f t="shared" si="37"/>
        <v>0.19201540874986456</v>
      </c>
      <c r="M64" s="43">
        <f t="shared" si="37"/>
        <v>0.13197102897808927</v>
      </c>
      <c r="N64" s="43">
        <f t="shared" si="37"/>
        <v>0.049041516608241915</v>
      </c>
      <c r="O64" s="43">
        <f t="shared" si="37"/>
        <v>-0.062184828273166355</v>
      </c>
      <c r="P64" s="43">
        <f t="shared" si="37"/>
        <v>-0.21074265733625389</v>
      </c>
      <c r="Q64" s="43">
        <f t="shared" si="37"/>
        <v>-0.4077873780930249</v>
      </c>
      <c r="R64" s="43">
        <f t="shared" si="37"/>
        <v>-0.6587573389187252</v>
      </c>
      <c r="S64" s="43">
        <f t="shared" si="37"/>
        <v>-0.9417684067023518</v>
      </c>
      <c r="T64" s="43">
        <f t="shared" si="37"/>
        <v>-1.1699310582893439</v>
      </c>
      <c r="U64" s="43">
        <f t="shared" si="37"/>
        <v>-1.178767923312127</v>
      </c>
      <c r="V64" s="43">
        <f t="shared" si="37"/>
        <v>-0.8414722034654168</v>
      </c>
      <c r="W64" s="43">
        <f t="shared" si="37"/>
        <v>-0.26535715039839003</v>
      </c>
      <c r="X64" s="43">
        <f t="shared" si="37"/>
        <v>0.26772660097030376</v>
      </c>
      <c r="Y64" s="43">
        <f t="shared" si="37"/>
        <v>0.5888023367411952</v>
      </c>
      <c r="Z64" s="43">
        <f>(Z62*COS(Z58)+Z63*SIN(Z58))/$B$7/SIN(Z58-Z56)</f>
        <v>0.7187157179561261</v>
      </c>
    </row>
    <row r="65" spans="1:26" s="64" customFormat="1" ht="13.5" customHeight="1" thickBot="1">
      <c r="A65" s="6" t="s">
        <v>63</v>
      </c>
      <c r="B65" s="64">
        <f aca="true" t="shared" si="38" ref="B65:Y65">(B62*COS(B56)+B63*SIN(B56))/$B$8/SIN(B58-B56)</f>
        <v>0.4452015357120365</v>
      </c>
      <c r="C65" s="64">
        <f t="shared" si="38"/>
        <v>0.33747239918750305</v>
      </c>
      <c r="D65" s="64">
        <f t="shared" si="38"/>
        <v>0.23408356112426185</v>
      </c>
      <c r="E65" s="64">
        <f t="shared" si="38"/>
        <v>0.14309177398078352</v>
      </c>
      <c r="F65" s="64">
        <f t="shared" si="38"/>
        <v>0.06422031190654813</v>
      </c>
      <c r="G65" s="64">
        <f t="shared" si="38"/>
        <v>-0.004631493735931647</v>
      </c>
      <c r="H65" s="64">
        <f t="shared" si="38"/>
        <v>-0.06463684164201547</v>
      </c>
      <c r="I65" s="64">
        <f t="shared" si="38"/>
        <v>-0.11549806733501723</v>
      </c>
      <c r="J65" s="64">
        <f t="shared" si="38"/>
        <v>-0.15632820732654742</v>
      </c>
      <c r="K65" s="64">
        <f t="shared" si="38"/>
        <v>-0.18724254414192665</v>
      </c>
      <c r="L65" s="64">
        <f t="shared" si="38"/>
        <v>-0.2106133546534115</v>
      </c>
      <c r="M65" s="64">
        <f t="shared" si="38"/>
        <v>-0.23121098491925585</v>
      </c>
      <c r="N65" s="64">
        <f t="shared" si="38"/>
        <v>-0.2554139388728322</v>
      </c>
      <c r="O65" s="64">
        <f t="shared" si="38"/>
        <v>-0.29021354900153545</v>
      </c>
      <c r="P65" s="64">
        <f t="shared" si="38"/>
        <v>-0.342170014202619</v>
      </c>
      <c r="Q65" s="64">
        <f t="shared" si="38"/>
        <v>-0.41507455972698254</v>
      </c>
      <c r="R65" s="64">
        <f t="shared" si="38"/>
        <v>-0.503083464875769</v>
      </c>
      <c r="S65" s="64">
        <f t="shared" si="38"/>
        <v>-0.5746284191651286</v>
      </c>
      <c r="T65" s="64">
        <f t="shared" si="38"/>
        <v>-0.550012426615711</v>
      </c>
      <c r="U65" s="64">
        <f t="shared" si="38"/>
        <v>-0.31220889048970824</v>
      </c>
      <c r="V65" s="64">
        <f t="shared" si="38"/>
        <v>0.17781966742913596</v>
      </c>
      <c r="W65" s="64">
        <f t="shared" si="38"/>
        <v>0.7463233260370258</v>
      </c>
      <c r="X65" s="64">
        <f t="shared" si="38"/>
        <v>1.1293617330060834</v>
      </c>
      <c r="Y65" s="64">
        <f t="shared" si="38"/>
        <v>1.229205150728755</v>
      </c>
      <c r="Z65" s="64">
        <f>(Z62*COS(Z56)+Z63*SIN(Z56))/$B$8/SIN(Z58-Z56)</f>
        <v>1.1230656003309276</v>
      </c>
    </row>
    <row r="66" spans="1:182" ht="13.5" thickBot="1">
      <c r="A66" s="6" t="s">
        <v>215</v>
      </c>
      <c r="B66" s="41">
        <f>(C61-B61)/RADIANS($F$12)*B29</f>
        <v>0.39130132193964445</v>
      </c>
      <c r="C66" s="41">
        <f aca="true" t="shared" si="39" ref="C66:L66">(D61-C61)/RADIANS($F$12)*C29</f>
        <v>0.28364652528188744</v>
      </c>
      <c r="D66" s="41">
        <f t="shared" si="39"/>
        <v>0.18587433158004515</v>
      </c>
      <c r="E66" s="41">
        <f t="shared" si="39"/>
        <v>0.10106785892752258</v>
      </c>
      <c r="F66" s="41">
        <f t="shared" si="39"/>
        <v>0.02761548057723346</v>
      </c>
      <c r="G66" s="41">
        <f t="shared" si="39"/>
        <v>-0.036309557206369934</v>
      </c>
      <c r="H66" s="41">
        <f t="shared" si="39"/>
        <v>-0.09119845721815793</v>
      </c>
      <c r="I66" s="41">
        <f t="shared" si="39"/>
        <v>-0.13642518130912767</v>
      </c>
      <c r="J66" s="41">
        <f t="shared" si="39"/>
        <v>-0.1715445859396318</v>
      </c>
      <c r="K66" s="41">
        <f t="shared" si="39"/>
        <v>-0.19778465004477244</v>
      </c>
      <c r="L66" s="41">
        <f t="shared" si="39"/>
        <v>-0.21875726285214284</v>
      </c>
      <c r="AA66" s="41"/>
      <c r="FZ66" s="41"/>
    </row>
    <row r="67" spans="1:182" ht="13.5" customHeight="1" thickBot="1">
      <c r="A67" s="19" t="s">
        <v>83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</row>
    <row r="68" spans="1:26" s="39" customFormat="1" ht="13.5" customHeight="1">
      <c r="A68" s="7" t="s">
        <v>84</v>
      </c>
      <c r="B68" s="39">
        <f>B34+($B$10-$B$9)*COS(B58-$B$58)-($D$10-$D$9)*SIN(B58-$B$58)</f>
        <v>27.442404899026897</v>
      </c>
      <c r="C68" s="39">
        <f aca="true" t="shared" si="40" ref="C68:Y68">C34+($B$10-$B$9)*COS(C56-$B$56)-($D$10-$D$9)*SIN(C56-$B$56)</f>
        <v>26.943535304192512</v>
      </c>
      <c r="D68" s="39">
        <f t="shared" si="40"/>
        <v>25.986868239367833</v>
      </c>
      <c r="E68" s="39">
        <f t="shared" si="40"/>
        <v>24.67631781626217</v>
      </c>
      <c r="F68" s="39">
        <f t="shared" si="40"/>
        <v>23.11707502481958</v>
      </c>
      <c r="G68" s="39">
        <f t="shared" si="40"/>
        <v>21.418514827707302</v>
      </c>
      <c r="H68" s="39">
        <f t="shared" si="40"/>
        <v>19.690992523193117</v>
      </c>
      <c r="I68" s="39">
        <f t="shared" si="40"/>
        <v>18.038080252268077</v>
      </c>
      <c r="J68" s="39">
        <f t="shared" si="40"/>
        <v>16.547521643066755</v>
      </c>
      <c r="K68" s="39">
        <f t="shared" si="40"/>
        <v>15.284647968523934</v>
      </c>
      <c r="L68" s="39">
        <f t="shared" si="40"/>
        <v>14.29111239252246</v>
      </c>
      <c r="M68" s="39">
        <f t="shared" si="40"/>
        <v>13.589504147391322</v>
      </c>
      <c r="N68" s="39">
        <f t="shared" si="40"/>
        <v>13.191958418868978</v>
      </c>
      <c r="O68" s="39">
        <f t="shared" si="40"/>
        <v>13.109865925756534</v>
      </c>
      <c r="P68" s="39">
        <f t="shared" si="40"/>
        <v>13.362313444145329</v>
      </c>
      <c r="Q68" s="39">
        <f t="shared" si="40"/>
        <v>13.98148441395566</v>
      </c>
      <c r="R68" s="39">
        <f t="shared" si="40"/>
        <v>15.012100563369605</v>
      </c>
      <c r="S68" s="39">
        <f t="shared" si="40"/>
        <v>16.497831771470686</v>
      </c>
      <c r="T68" s="39">
        <f t="shared" si="40"/>
        <v>18.44217756585438</v>
      </c>
      <c r="U68" s="39">
        <f t="shared" si="40"/>
        <v>20.738508953162576</v>
      </c>
      <c r="V68" s="39">
        <f t="shared" si="40"/>
        <v>23.11262418164411</v>
      </c>
      <c r="W68" s="39">
        <f t="shared" si="40"/>
        <v>25.18136646487643</v>
      </c>
      <c r="X68" s="39">
        <f t="shared" si="40"/>
        <v>26.63783275129015</v>
      </c>
      <c r="Y68" s="39">
        <f t="shared" si="40"/>
        <v>27.375318545919463</v>
      </c>
      <c r="Z68" s="39">
        <f>Z34+($B$10-$B$9)*COS(Z56-$B$56)-($D$10-$D$9)*SIN(Z56-$B$56)</f>
        <v>27.442404899026897</v>
      </c>
    </row>
    <row r="69" spans="1:26" s="43" customFormat="1" ht="13.5" customHeight="1">
      <c r="A69" s="5" t="s">
        <v>85</v>
      </c>
      <c r="B69" s="43">
        <f>B35+($B$10-$B$9)*SIN(B58-$B$58)+($D$10-$D$9)*COS(B58-$B$58)</f>
        <v>-2.8394286953485417</v>
      </c>
      <c r="C69" s="43">
        <f aca="true" t="shared" si="41" ref="C69:Y69">C35+($B$10-$B$9)*SIN(C56-$B$56)+($D$10-$D$9)*COS(C56-$B$56)</f>
        <v>-2.438617051392302</v>
      </c>
      <c r="D69" s="43">
        <f t="shared" si="41"/>
        <v>-1.7284424699946097</v>
      </c>
      <c r="E69" s="43">
        <f t="shared" si="41"/>
        <v>-0.8680374474790349</v>
      </c>
      <c r="F69" s="43">
        <f t="shared" si="41"/>
        <v>0.00589291492990851</v>
      </c>
      <c r="G69" s="43">
        <f t="shared" si="41"/>
        <v>0.7939490442822525</v>
      </c>
      <c r="H69" s="43">
        <f t="shared" si="41"/>
        <v>1.4378237968690537</v>
      </c>
      <c r="I69" s="43">
        <f t="shared" si="41"/>
        <v>1.9172440002700832</v>
      </c>
      <c r="J69" s="43">
        <f t="shared" si="41"/>
        <v>2.2419339809427354</v>
      </c>
      <c r="K69" s="43">
        <f t="shared" si="41"/>
        <v>2.440441169242856</v>
      </c>
      <c r="L69" s="43">
        <f t="shared" si="41"/>
        <v>2.548497834493453</v>
      </c>
      <c r="M69" s="43">
        <f t="shared" si="41"/>
        <v>2.59964180117314</v>
      </c>
      <c r="N69" s="43">
        <f t="shared" si="41"/>
        <v>2.6194401793862023</v>
      </c>
      <c r="O69" s="43">
        <f t="shared" si="41"/>
        <v>2.622703526088918</v>
      </c>
      <c r="P69" s="43">
        <f t="shared" si="41"/>
        <v>2.611767551930556</v>
      </c>
      <c r="Q69" s="43">
        <f t="shared" si="41"/>
        <v>2.5736237987204826</v>
      </c>
      <c r="R69" s="43">
        <f t="shared" si="41"/>
        <v>2.4742652971968067</v>
      </c>
      <c r="S69" s="43">
        <f t="shared" si="41"/>
        <v>2.251056071100871</v>
      </c>
      <c r="T69" s="43">
        <f t="shared" si="41"/>
        <v>1.8118761513717145</v>
      </c>
      <c r="U69" s="43">
        <f t="shared" si="41"/>
        <v>1.0655419084081803</v>
      </c>
      <c r="V69" s="43">
        <f t="shared" si="41"/>
        <v>0.00817292660719815</v>
      </c>
      <c r="W69" s="43">
        <f t="shared" si="41"/>
        <v>-1.185136721702993</v>
      </c>
      <c r="X69" s="43">
        <f t="shared" si="41"/>
        <v>-2.203597578450197</v>
      </c>
      <c r="Y69" s="43">
        <f t="shared" si="41"/>
        <v>-2.7842416566354773</v>
      </c>
      <c r="Z69" s="43">
        <f>Z35+($B$10-$B$9)*SIN(Z56-$B$56)+($D$10-$D$9)*COS(Z56-$B$56)</f>
        <v>-2.8394286953485435</v>
      </c>
    </row>
    <row r="70" spans="1:26" s="43" customFormat="1" ht="13.5" customHeight="1">
      <c r="A70" s="5" t="s">
        <v>86</v>
      </c>
      <c r="B70" s="43">
        <f aca="true" t="shared" si="42" ref="B70:Y70">B36-B60*(B69-B35)</f>
        <v>-0.8952028418121797</v>
      </c>
      <c r="C70" s="43">
        <f t="shared" si="42"/>
        <v>-2.846845492526577</v>
      </c>
      <c r="D70" s="43">
        <f t="shared" si="42"/>
        <v>-4.407390036974796</v>
      </c>
      <c r="E70" s="43">
        <f t="shared" si="42"/>
        <v>-5.592807399992202</v>
      </c>
      <c r="F70" s="43">
        <f t="shared" si="42"/>
        <v>-6.391377140006152</v>
      </c>
      <c r="G70" s="43">
        <f t="shared" si="42"/>
        <v>-6.785045399976936</v>
      </c>
      <c r="H70" s="43">
        <f t="shared" si="42"/>
        <v>-6.772130746884344</v>
      </c>
      <c r="I70" s="43">
        <f t="shared" si="42"/>
        <v>-6.381380786018324</v>
      </c>
      <c r="J70" s="43">
        <f t="shared" si="42"/>
        <v>-5.6730850212130095</v>
      </c>
      <c r="K70" s="43">
        <f t="shared" si="42"/>
        <v>-4.726260335042292</v>
      </c>
      <c r="L70" s="43">
        <f t="shared" si="42"/>
        <v>-3.616707236407118</v>
      </c>
      <c r="M70" s="43">
        <f t="shared" si="42"/>
        <v>-2.395522797735342</v>
      </c>
      <c r="N70" s="43">
        <f t="shared" si="42"/>
        <v>-1.0761087242937935</v>
      </c>
      <c r="O70" s="43">
        <f t="shared" si="42"/>
        <v>0.36862949149816404</v>
      </c>
      <c r="P70" s="43">
        <f t="shared" si="42"/>
        <v>2.0010165037335343</v>
      </c>
      <c r="Q70" s="43">
        <f t="shared" si="42"/>
        <v>3.903531371679163</v>
      </c>
      <c r="R70" s="43">
        <f t="shared" si="42"/>
        <v>6.139456595525197</v>
      </c>
      <c r="S70" s="43">
        <f t="shared" si="42"/>
        <v>8.65638371274988</v>
      </c>
      <c r="T70" s="43">
        <f t="shared" si="42"/>
        <v>11.106137491038938</v>
      </c>
      <c r="U70" s="43">
        <f t="shared" si="42"/>
        <v>12.690845812670547</v>
      </c>
      <c r="V70" s="43">
        <f t="shared" si="42"/>
        <v>12.434471063731072</v>
      </c>
      <c r="W70" s="43">
        <f t="shared" si="42"/>
        <v>10.040632735719853</v>
      </c>
      <c r="X70" s="43">
        <f t="shared" si="42"/>
        <v>6.294463289848424</v>
      </c>
      <c r="Y70" s="43">
        <f t="shared" si="42"/>
        <v>2.2748736307398927</v>
      </c>
      <c r="Z70" s="43">
        <f>Z36-Z60*(Z69-Z35)</f>
        <v>-1.414437187042664</v>
      </c>
    </row>
    <row r="71" spans="1:26" s="43" customFormat="1" ht="13.5" customHeight="1">
      <c r="A71" s="5" t="s">
        <v>87</v>
      </c>
      <c r="B71" s="43">
        <f aca="true" t="shared" si="43" ref="B71:Y71">B37+B60*(B68-B34)</f>
        <v>0.7391452819351629</v>
      </c>
      <c r="C71" s="43">
        <f t="shared" si="43"/>
        <v>2.2253175781972665</v>
      </c>
      <c r="D71" s="43">
        <f t="shared" si="43"/>
        <v>3.104714871369632</v>
      </c>
      <c r="E71" s="43">
        <f t="shared" si="43"/>
        <v>3.41512189189267</v>
      </c>
      <c r="F71" s="43">
        <f t="shared" si="43"/>
        <v>3.2749222962849727</v>
      </c>
      <c r="G71" s="43">
        <f t="shared" si="43"/>
        <v>2.8310032534695995</v>
      </c>
      <c r="H71" s="43">
        <f t="shared" si="43"/>
        <v>2.23108338089867</v>
      </c>
      <c r="I71" s="43">
        <f t="shared" si="43"/>
        <v>1.604626851861621</v>
      </c>
      <c r="J71" s="43">
        <f t="shared" si="43"/>
        <v>1.047656489592013</v>
      </c>
      <c r="K71" s="43">
        <f t="shared" si="43"/>
        <v>0.6140934465906724</v>
      </c>
      <c r="L71" s="43">
        <f t="shared" si="43"/>
        <v>0.31712443167962867</v>
      </c>
      <c r="M71" s="43">
        <f t="shared" si="43"/>
        <v>0.13927358787696775</v>
      </c>
      <c r="N71" s="43">
        <f t="shared" si="43"/>
        <v>0.04462709414083754</v>
      </c>
      <c r="O71" s="43">
        <f t="shared" si="43"/>
        <v>-0.01402029721170095</v>
      </c>
      <c r="P71" s="43">
        <f t="shared" si="43"/>
        <v>-0.09726626771505398</v>
      </c>
      <c r="Q71" s="43">
        <f t="shared" si="43"/>
        <v>-0.29128716933229093</v>
      </c>
      <c r="R71" s="43">
        <f t="shared" si="43"/>
        <v>-0.7261957051137711</v>
      </c>
      <c r="S71" s="43">
        <f t="shared" si="43"/>
        <v>-1.5797032979913763</v>
      </c>
      <c r="T71" s="43">
        <f t="shared" si="43"/>
        <v>-2.9996042656079607</v>
      </c>
      <c r="U71" s="43">
        <f t="shared" si="43"/>
        <v>-4.844993295420922</v>
      </c>
      <c r="V71" s="43">
        <f t="shared" si="43"/>
        <v>-6.368106269993152</v>
      </c>
      <c r="W71" s="43">
        <f t="shared" si="43"/>
        <v>-6.47984186013564</v>
      </c>
      <c r="X71" s="43">
        <f t="shared" si="43"/>
        <v>-4.758928212332451</v>
      </c>
      <c r="Y71" s="43">
        <f t="shared" si="43"/>
        <v>-1.8644622249869514</v>
      </c>
      <c r="Z71" s="43">
        <f>Z37+Z60*(Z68-Z34)</f>
        <v>1.1678633317113363</v>
      </c>
    </row>
    <row r="72" spans="1:26" s="43" customFormat="1" ht="13.5" customHeight="1">
      <c r="A72" s="5" t="s">
        <v>88</v>
      </c>
      <c r="B72" s="43">
        <f aca="true" t="shared" si="44" ref="B72:Y72">B38-B64*(B69-B35)-B60*(B71-B37)</f>
        <v>-8.254517841189884</v>
      </c>
      <c r="C72" s="43">
        <f t="shared" si="44"/>
        <v>-6.701074777827294</v>
      </c>
      <c r="D72" s="43">
        <f t="shared" si="44"/>
        <v>-5.280541887762495</v>
      </c>
      <c r="E72" s="43">
        <f t="shared" si="44"/>
        <v>-3.8584614486055098</v>
      </c>
      <c r="F72" s="43">
        <f t="shared" si="44"/>
        <v>-2.3506877176532597</v>
      </c>
      <c r="G72" s="43">
        <f t="shared" si="44"/>
        <v>-0.7670722986890484</v>
      </c>
      <c r="H72" s="43">
        <f t="shared" si="44"/>
        <v>0.8052053183077961</v>
      </c>
      <c r="I72" s="43">
        <f t="shared" si="44"/>
        <v>2.240506739062869</v>
      </c>
      <c r="J72" s="43">
        <f t="shared" si="44"/>
        <v>3.4278063106784793</v>
      </c>
      <c r="K72" s="43">
        <f t="shared" si="44"/>
        <v>4.322966536019839</v>
      </c>
      <c r="L72" s="43">
        <f t="shared" si="44"/>
        <v>4.9747191147333485</v>
      </c>
      <c r="M72" s="43">
        <f t="shared" si="44"/>
        <v>5.511899968801044</v>
      </c>
      <c r="N72" s="43">
        <f t="shared" si="44"/>
        <v>6.1073507090528985</v>
      </c>
      <c r="O72" s="43">
        <f t="shared" si="44"/>
        <v>6.942476650589796</v>
      </c>
      <c r="P72" s="43">
        <f t="shared" si="44"/>
        <v>8.173750276988098</v>
      </c>
      <c r="Q72" s="43">
        <f t="shared" si="44"/>
        <v>9.86170606957733</v>
      </c>
      <c r="R72" s="43">
        <f t="shared" si="44"/>
        <v>11.77290727722279</v>
      </c>
      <c r="S72" s="43">
        <f t="shared" si="44"/>
        <v>12.952473223411618</v>
      </c>
      <c r="T72" s="43">
        <f t="shared" si="44"/>
        <v>11.27039489428712</v>
      </c>
      <c r="U72" s="43">
        <f t="shared" si="44"/>
        <v>4.2335337645138225</v>
      </c>
      <c r="V72" s="43">
        <f t="shared" si="44"/>
        <v>-7.505146563790366</v>
      </c>
      <c r="W72" s="43">
        <f t="shared" si="44"/>
        <v>-18.246700962713987</v>
      </c>
      <c r="X72" s="43">
        <f t="shared" si="44"/>
        <v>-23.13536090503809</v>
      </c>
      <c r="Y72" s="43">
        <f t="shared" si="44"/>
        <v>-22.988736129523264</v>
      </c>
      <c r="Z72" s="43">
        <f>Z38-Z64*(Z69-Z35)-Z60*(Z71-Z37)</f>
        <v>-20.82191353755304</v>
      </c>
    </row>
    <row r="73" spans="1:26" s="64" customFormat="1" ht="13.5" customHeight="1" thickBot="1">
      <c r="A73" s="6" t="s">
        <v>89</v>
      </c>
      <c r="B73" s="64">
        <f aca="true" t="shared" si="45" ref="B73:Y73">B39+B64*(B68-B34)+B60*(B70-B36)</f>
        <v>6.7425312712017424</v>
      </c>
      <c r="C73" s="64">
        <f t="shared" si="45"/>
        <v>4.545847206135394</v>
      </c>
      <c r="D73" s="64">
        <f t="shared" si="45"/>
        <v>2.234763063770517</v>
      </c>
      <c r="E73" s="64">
        <f t="shared" si="45"/>
        <v>0.25434850672552656</v>
      </c>
      <c r="F73" s="64">
        <f t="shared" si="45"/>
        <v>-1.2161979656246833</v>
      </c>
      <c r="G73" s="64">
        <f t="shared" si="45"/>
        <v>-2.1263809854614117</v>
      </c>
      <c r="H73" s="64">
        <f t="shared" si="45"/>
        <v>-2.501174933562842</v>
      </c>
      <c r="I73" s="64">
        <f t="shared" si="45"/>
        <v>-2.4282428275130243</v>
      </c>
      <c r="J73" s="64">
        <f t="shared" si="45"/>
        <v>-2.0467281889846536</v>
      </c>
      <c r="K73" s="64">
        <f t="shared" si="45"/>
        <v>-1.5184838900877062</v>
      </c>
      <c r="L73" s="64">
        <f t="shared" si="45"/>
        <v>-0.9889023657948948</v>
      </c>
      <c r="M73" s="64">
        <f t="shared" si="45"/>
        <v>-0.5613780568354146</v>
      </c>
      <c r="N73" s="64">
        <f t="shared" si="45"/>
        <v>-0.3017729287445365</v>
      </c>
      <c r="O73" s="64">
        <f t="shared" si="45"/>
        <v>-0.2697357014198254</v>
      </c>
      <c r="P73" s="64">
        <f t="shared" si="45"/>
        <v>-0.5651605462344003</v>
      </c>
      <c r="Q73" s="64">
        <f t="shared" si="45"/>
        <v>-1.3777079391033966</v>
      </c>
      <c r="R73" s="64">
        <f t="shared" si="45"/>
        <v>-3.0001720678051806</v>
      </c>
      <c r="S73" s="64">
        <f t="shared" si="45"/>
        <v>-5.65138106881194</v>
      </c>
      <c r="T73" s="64">
        <f t="shared" si="45"/>
        <v>-8.770197649035202</v>
      </c>
      <c r="U73" s="64">
        <f t="shared" si="45"/>
        <v>-9.86694596219489</v>
      </c>
      <c r="V73" s="64">
        <f t="shared" si="45"/>
        <v>-5.3157070112028935</v>
      </c>
      <c r="W73" s="64">
        <f t="shared" si="45"/>
        <v>4.676365650842863</v>
      </c>
      <c r="X73" s="64">
        <f t="shared" si="45"/>
        <v>14.230785440697614</v>
      </c>
      <c r="Y73" s="64">
        <f t="shared" si="45"/>
        <v>18.37408536017566</v>
      </c>
      <c r="Z73" s="64">
        <f>Z39+Z64*(Z68-Z34)+Z60*(Z70-Z36)</f>
        <v>17.009847334201805</v>
      </c>
    </row>
    <row r="74" s="43" customFormat="1" ht="13.5" customHeight="1">
      <c r="A74" s="2"/>
    </row>
    <row r="75" s="43" customFormat="1" ht="13.5" customHeight="1" thickBot="1">
      <c r="A75" s="20" t="s">
        <v>90</v>
      </c>
    </row>
    <row r="76" spans="1:182" s="39" customFormat="1" ht="13.5" customHeight="1">
      <c r="A76" s="13" t="s">
        <v>91</v>
      </c>
      <c r="B76" s="66">
        <f aca="true" t="shared" si="46" ref="B76:Y76">B34+($B$13-$B$9)*COS(B56-$B$56)-($D$13-$D$9)*SIN(B56-$B$56)</f>
        <v>12</v>
      </c>
      <c r="C76" s="67">
        <f t="shared" si="46"/>
        <v>12.761502491735278</v>
      </c>
      <c r="D76" s="67">
        <f t="shared" si="46"/>
        <v>12.74178818120915</v>
      </c>
      <c r="E76" s="67">
        <f t="shared" si="46"/>
        <v>12.027177775671769</v>
      </c>
      <c r="F76" s="67">
        <f t="shared" si="46"/>
        <v>10.724695556778778</v>
      </c>
      <c r="G76" s="67">
        <f t="shared" si="46"/>
        <v>8.95217667836091</v>
      </c>
      <c r="H76" s="67">
        <f t="shared" si="46"/>
        <v>6.832974195819404</v>
      </c>
      <c r="I76" s="67">
        <f t="shared" si="46"/>
        <v>4.4925739244261464</v>
      </c>
      <c r="J76" s="67">
        <f t="shared" si="46"/>
        <v>2.056536994029788</v>
      </c>
      <c r="K76" s="67">
        <f t="shared" si="46"/>
        <v>-0.3505845723419337</v>
      </c>
      <c r="L76" s="67">
        <f t="shared" si="46"/>
        <v>-2.6063258420490465</v>
      </c>
      <c r="M76" s="67">
        <f t="shared" si="46"/>
        <v>-4.592628190683899</v>
      </c>
      <c r="N76" s="67">
        <f t="shared" si="46"/>
        <v>-6.1999663363200614</v>
      </c>
      <c r="O76" s="67">
        <f t="shared" si="46"/>
        <v>-7.332599251249935</v>
      </c>
      <c r="P76" s="67">
        <f t="shared" si="46"/>
        <v>-7.913305402431937</v>
      </c>
      <c r="Q76" s="67">
        <f t="shared" si="46"/>
        <v>-7.885766650227154</v>
      </c>
      <c r="R76" s="67">
        <f t="shared" si="46"/>
        <v>-7.213477399682941</v>
      </c>
      <c r="S76" s="67">
        <f t="shared" si="46"/>
        <v>-5.876545103539701</v>
      </c>
      <c r="T76" s="67">
        <f t="shared" si="46"/>
        <v>-3.874381114834991</v>
      </c>
      <c r="U76" s="67">
        <f t="shared" si="46"/>
        <v>-1.252775736344005</v>
      </c>
      <c r="V76" s="67">
        <f t="shared" si="46"/>
        <v>1.8326201855750703</v>
      </c>
      <c r="W76" s="67">
        <f t="shared" si="46"/>
        <v>5.066739731656729</v>
      </c>
      <c r="X76" s="67">
        <f t="shared" si="46"/>
        <v>8.041194509297572</v>
      </c>
      <c r="Y76" s="67">
        <f t="shared" si="46"/>
        <v>10.413105743957244</v>
      </c>
      <c r="Z76" s="67">
        <f>Z34+($B$13-$B$9)*COS(Z56-$B$56)-($D$13-$D$9)*SIN(Z56-$B$56)</f>
        <v>12</v>
      </c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</row>
    <row r="77" spans="1:182" s="43" customFormat="1" ht="13.5" customHeight="1">
      <c r="A77" s="14" t="s">
        <v>92</v>
      </c>
      <c r="B77" s="68">
        <f aca="true" t="shared" si="47" ref="B77:Y77">B35+($B$13-$B$9)*SIN(B56-$B$56)+($D$13-$D$9)*COS(B56-$B$56)</f>
        <v>14.2</v>
      </c>
      <c r="C77" s="69">
        <f t="shared" si="47"/>
        <v>15.66331501774727</v>
      </c>
      <c r="D77" s="69">
        <f t="shared" si="47"/>
        <v>17.069904627086146</v>
      </c>
      <c r="E77" s="69">
        <f t="shared" si="47"/>
        <v>18.33636974365524</v>
      </c>
      <c r="F77" s="69">
        <f t="shared" si="47"/>
        <v>19.376977821290673</v>
      </c>
      <c r="G77" s="69">
        <f t="shared" si="47"/>
        <v>20.117520465619148</v>
      </c>
      <c r="H77" s="69">
        <f t="shared" si="47"/>
        <v>20.503011024438546</v>
      </c>
      <c r="I77" s="69">
        <f t="shared" si="47"/>
        <v>20.50028082560494</v>
      </c>
      <c r="J77" s="69">
        <f t="shared" si="47"/>
        <v>20.09750351066461</v>
      </c>
      <c r="K77" s="69">
        <f t="shared" si="47"/>
        <v>19.30310711275268</v>
      </c>
      <c r="L77" s="69">
        <f t="shared" si="47"/>
        <v>18.14614446589904</v>
      </c>
      <c r="M77" s="69">
        <f t="shared" si="47"/>
        <v>16.678706506261914</v>
      </c>
      <c r="N77" s="69">
        <f t="shared" si="47"/>
        <v>14.979183446074371</v>
      </c>
      <c r="O77" s="69">
        <f t="shared" si="47"/>
        <v>13.15435186888099</v>
      </c>
      <c r="P77" s="69">
        <f t="shared" si="47"/>
        <v>11.338625063344582</v>
      </c>
      <c r="Q77" s="69">
        <f t="shared" si="47"/>
        <v>9.689333898587734</v>
      </c>
      <c r="R77" s="69">
        <f t="shared" si="47"/>
        <v>8.376272035385956</v>
      </c>
      <c r="S77" s="69">
        <f t="shared" si="47"/>
        <v>7.561165183384484</v>
      </c>
      <c r="T77" s="69">
        <f t="shared" si="47"/>
        <v>7.3599576198349625</v>
      </c>
      <c r="U77" s="69">
        <f t="shared" si="47"/>
        <v>7.788145350113676</v>
      </c>
      <c r="V77" s="69">
        <f t="shared" si="47"/>
        <v>8.724332015141716</v>
      </c>
      <c r="W77" s="69">
        <f t="shared" si="47"/>
        <v>9.959897630536592</v>
      </c>
      <c r="X77" s="69">
        <f t="shared" si="47"/>
        <v>11.323229300970429</v>
      </c>
      <c r="Y77" s="69">
        <f t="shared" si="47"/>
        <v>12.742938904892945</v>
      </c>
      <c r="Z77" s="69">
        <f>Z35+($B$13-$B$9)*SIN(Z56-$B$56)+($D$13-$D$9)*COS(Z56-$B$56)</f>
        <v>14.199999999999998</v>
      </c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</row>
    <row r="78" spans="1:182" s="43" customFormat="1" ht="13.5" customHeight="1">
      <c r="A78" s="14" t="s">
        <v>93</v>
      </c>
      <c r="B78" s="68">
        <f aca="true" t="shared" si="48" ref="B78:Y78">B36-B60*(B77-B35)</f>
        <v>4.476914801402526</v>
      </c>
      <c r="C78" s="69">
        <f t="shared" si="48"/>
        <v>1.3713404758781556</v>
      </c>
      <c r="D78" s="69">
        <f t="shared" si="48"/>
        <v>-1.4695729652317526</v>
      </c>
      <c r="E78" s="69">
        <f t="shared" si="48"/>
        <v>-3.955609717765382</v>
      </c>
      <c r="F78" s="69">
        <f t="shared" si="48"/>
        <v>-6.04345615158283</v>
      </c>
      <c r="G78" s="69">
        <f t="shared" si="48"/>
        <v>-7.708092183806033</v>
      </c>
      <c r="H78" s="69">
        <f t="shared" si="48"/>
        <v>-8.932307402634462</v>
      </c>
      <c r="I78" s="69">
        <f t="shared" si="48"/>
        <v>-9.701473560577785</v>
      </c>
      <c r="J78" s="69">
        <f t="shared" si="48"/>
        <v>-9.999410055345734</v>
      </c>
      <c r="K78" s="69">
        <f t="shared" si="48"/>
        <v>-9.806776497184535</v>
      </c>
      <c r="L78" s="69">
        <f t="shared" si="48"/>
        <v>-9.104744526488412</v>
      </c>
      <c r="M78" s="69">
        <f t="shared" si="48"/>
        <v>-7.883820217508434</v>
      </c>
      <c r="N78" s="69">
        <f t="shared" si="48"/>
        <v>-6.153692730213414</v>
      </c>
      <c r="O78" s="69">
        <f t="shared" si="48"/>
        <v>-3.9486628340627514</v>
      </c>
      <c r="P78" s="69">
        <f t="shared" si="48"/>
        <v>-1.3249920649208615</v>
      </c>
      <c r="Q78" s="69">
        <f t="shared" si="48"/>
        <v>1.6503759886707714</v>
      </c>
      <c r="R78" s="69">
        <f t="shared" si="48"/>
        <v>4.9148650278384665</v>
      </c>
      <c r="S78" s="69">
        <f t="shared" si="48"/>
        <v>8.409241176868175</v>
      </c>
      <c r="T78" s="69">
        <f t="shared" si="48"/>
        <v>12.008528153926575</v>
      </c>
      <c r="U78" s="69">
        <f t="shared" si="48"/>
        <v>15.327410759165364</v>
      </c>
      <c r="V78" s="69">
        <f t="shared" si="48"/>
        <v>17.542286804116422</v>
      </c>
      <c r="W78" s="69">
        <f t="shared" si="48"/>
        <v>17.713557143292277</v>
      </c>
      <c r="X78" s="69">
        <f t="shared" si="48"/>
        <v>15.577417503438692</v>
      </c>
      <c r="Y78" s="69">
        <f t="shared" si="48"/>
        <v>11.740904550728956</v>
      </c>
      <c r="Z78" s="69">
        <f>Z36-Z60*(Z77-Z35)</f>
        <v>7.07360888791061</v>
      </c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</row>
    <row r="79" spans="1:182" s="43" customFormat="1" ht="13.5" customHeight="1">
      <c r="A79" s="14" t="s">
        <v>94</v>
      </c>
      <c r="B79" s="68">
        <f aca="true" t="shared" si="49" ref="B79:Y79">B37+B60*(B76-B34)</f>
        <v>5.607760145435472</v>
      </c>
      <c r="C79" s="69">
        <f t="shared" si="49"/>
        <v>5.530072649892003</v>
      </c>
      <c r="D79" s="69">
        <f t="shared" si="49"/>
        <v>5.174664006286106</v>
      </c>
      <c r="E79" s="69">
        <f t="shared" si="49"/>
        <v>4.493475550535019</v>
      </c>
      <c r="F79" s="69">
        <f t="shared" si="49"/>
        <v>3.497499861469351</v>
      </c>
      <c r="G79" s="69">
        <f t="shared" si="49"/>
        <v>2.235512229373804</v>
      </c>
      <c r="H79" s="69">
        <f t="shared" si="49"/>
        <v>0.7742085703626074</v>
      </c>
      <c r="I79" s="69">
        <f t="shared" si="49"/>
        <v>-0.8154478705597006</v>
      </c>
      <c r="J79" s="69">
        <f t="shared" si="49"/>
        <v>-2.4634446014152003</v>
      </c>
      <c r="K79" s="69">
        <f t="shared" si="49"/>
        <v>-4.096611959590647</v>
      </c>
      <c r="L79" s="69">
        <f t="shared" si="49"/>
        <v>-5.628244977539838</v>
      </c>
      <c r="M79" s="69">
        <f t="shared" si="49"/>
        <v>-6.948480612227188</v>
      </c>
      <c r="N79" s="69">
        <f t="shared" si="49"/>
        <v>-7.921891696449573</v>
      </c>
      <c r="O79" s="69">
        <f t="shared" si="49"/>
        <v>-8.394104321251428</v>
      </c>
      <c r="P79" s="69">
        <f t="shared" si="49"/>
        <v>-8.205899930472672</v>
      </c>
      <c r="Q79" s="69">
        <f t="shared" si="49"/>
        <v>-7.2154470571527165</v>
      </c>
      <c r="R79" s="69">
        <f t="shared" si="49"/>
        <v>-5.337721338320514</v>
      </c>
      <c r="S79" s="69">
        <f t="shared" si="49"/>
        <v>-2.621049176717596</v>
      </c>
      <c r="T79" s="69">
        <f t="shared" si="49"/>
        <v>0.6301647447624237</v>
      </c>
      <c r="U79" s="69">
        <f t="shared" si="49"/>
        <v>3.7798573065106953</v>
      </c>
      <c r="V79" s="69">
        <f t="shared" si="49"/>
        <v>6.102333778486935</v>
      </c>
      <c r="W79" s="69">
        <f t="shared" si="49"/>
        <v>7.368299431552357</v>
      </c>
      <c r="X79" s="69">
        <f t="shared" si="49"/>
        <v>8.003247489772269</v>
      </c>
      <c r="Y79" s="69">
        <f t="shared" si="49"/>
        <v>8.4764254988693</v>
      </c>
      <c r="Z79" s="69">
        <f>Z37+Z60*(Z76-Z34)</f>
        <v>8.86036562357549</v>
      </c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</row>
    <row r="80" spans="1:182" s="43" customFormat="1" ht="13.5" customHeight="1">
      <c r="A80" s="14" t="s">
        <v>95</v>
      </c>
      <c r="B80" s="68">
        <f aca="true" t="shared" si="50" ref="B80:Y80">B38-B64*(B77-B35)-B60*(B79-B37)</f>
        <v>-12.14156717421499</v>
      </c>
      <c r="C80" s="69">
        <f t="shared" si="50"/>
        <v>-11.432033949739262</v>
      </c>
      <c r="D80" s="69">
        <f t="shared" si="50"/>
        <v>-10.244734305457818</v>
      </c>
      <c r="E80" s="69">
        <f t="shared" si="50"/>
        <v>-8.842916464161624</v>
      </c>
      <c r="F80" s="69">
        <f t="shared" si="50"/>
        <v>-7.319467977928106</v>
      </c>
      <c r="G80" s="69">
        <f t="shared" si="50"/>
        <v>-5.703568231906539</v>
      </c>
      <c r="H80" s="69">
        <f t="shared" si="50"/>
        <v>-3.999484410314788</v>
      </c>
      <c r="I80" s="69">
        <f t="shared" si="50"/>
        <v>-2.1937036361205706</v>
      </c>
      <c r="J80" s="69">
        <f t="shared" si="50"/>
        <v>-0.2588821256905047</v>
      </c>
      <c r="K80" s="69">
        <f t="shared" si="50"/>
        <v>1.8302772013969406</v>
      </c>
      <c r="L80" s="69">
        <f t="shared" si="50"/>
        <v>4.071610876806626</v>
      </c>
      <c r="M80" s="69">
        <f t="shared" si="50"/>
        <v>6.416817850849698</v>
      </c>
      <c r="N80" s="69">
        <f t="shared" si="50"/>
        <v>8.773985933049216</v>
      </c>
      <c r="O80" s="69">
        <f t="shared" si="50"/>
        <v>11.03267598377909</v>
      </c>
      <c r="P80" s="69">
        <f t="shared" si="50"/>
        <v>13.103260486123508</v>
      </c>
      <c r="Q80" s="69">
        <f t="shared" si="50"/>
        <v>14.955904764018882</v>
      </c>
      <c r="R80" s="69">
        <f t="shared" si="50"/>
        <v>16.61773063053459</v>
      </c>
      <c r="S80" s="69">
        <f t="shared" si="50"/>
        <v>18.001832431095735</v>
      </c>
      <c r="T80" s="69">
        <f t="shared" si="50"/>
        <v>18.351646515231725</v>
      </c>
      <c r="U80" s="69">
        <f t="shared" si="50"/>
        <v>15.540537992063461</v>
      </c>
      <c r="V80" s="69">
        <f t="shared" si="50"/>
        <v>7.137146520791315</v>
      </c>
      <c r="W80" s="69">
        <f t="shared" si="50"/>
        <v>-5.7553775853297084</v>
      </c>
      <c r="X80" s="69">
        <f t="shared" si="50"/>
        <v>-17.99864951266403</v>
      </c>
      <c r="Y80" s="69">
        <f t="shared" si="50"/>
        <v>-25.826930521144753</v>
      </c>
      <c r="Z80" s="69">
        <f>Z38-Z64*(Z77-Z35)-Z60*(Z79-Z37)</f>
        <v>-29.236464358709373</v>
      </c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</row>
    <row r="81" spans="1:182" s="64" customFormat="1" ht="13.5" customHeight="1" thickBot="1">
      <c r="A81" s="15" t="s">
        <v>96</v>
      </c>
      <c r="B81" s="70">
        <f aca="true" t="shared" si="51" ref="B81:Y81">B39+B64*(B76-B34)+B60*(B78-B36)</f>
        <v>0.13500643350365538</v>
      </c>
      <c r="C81" s="71">
        <f t="shared" si="51"/>
        <v>-0.746909213038579</v>
      </c>
      <c r="D81" s="71">
        <f t="shared" si="51"/>
        <v>-1.949997657924081</v>
      </c>
      <c r="E81" s="71">
        <f t="shared" si="51"/>
        <v>-3.228827605707122</v>
      </c>
      <c r="F81" s="71">
        <f t="shared" si="51"/>
        <v>-4.403711755576132</v>
      </c>
      <c r="G81" s="71">
        <f t="shared" si="51"/>
        <v>-5.373537069247983</v>
      </c>
      <c r="H81" s="71">
        <f t="shared" si="51"/>
        <v>-6.097658679940242</v>
      </c>
      <c r="I81" s="71">
        <f t="shared" si="51"/>
        <v>-6.56876103845015</v>
      </c>
      <c r="J81" s="71">
        <f t="shared" si="51"/>
        <v>-6.777390214009197</v>
      </c>
      <c r="K81" s="71">
        <f t="shared" si="51"/>
        <v>-6.676397092421851</v>
      </c>
      <c r="L81" s="71">
        <f t="shared" si="51"/>
        <v>-6.164438668583304</v>
      </c>
      <c r="M81" s="71">
        <f t="shared" si="51"/>
        <v>-5.1003394737386945</v>
      </c>
      <c r="N81" s="71">
        <f t="shared" si="51"/>
        <v>-3.3387366062906843</v>
      </c>
      <c r="O81" s="71">
        <f t="shared" si="51"/>
        <v>-0.7683341798023391</v>
      </c>
      <c r="P81" s="71">
        <f t="shared" si="51"/>
        <v>2.6509006072334635</v>
      </c>
      <c r="Q81" s="71">
        <f t="shared" si="51"/>
        <v>6.826030222066727</v>
      </c>
      <c r="R81" s="71">
        <f t="shared" si="51"/>
        <v>11.387003303148376</v>
      </c>
      <c r="S81" s="71">
        <f t="shared" si="51"/>
        <v>15.408597709995727</v>
      </c>
      <c r="T81" s="71">
        <f t="shared" si="51"/>
        <v>17.191864403078505</v>
      </c>
      <c r="U81" s="71">
        <f t="shared" si="51"/>
        <v>15.021629986340582</v>
      </c>
      <c r="V81" s="71">
        <f t="shared" si="51"/>
        <v>9.59755895729413</v>
      </c>
      <c r="W81" s="71">
        <f t="shared" si="51"/>
        <v>4.731414466464324</v>
      </c>
      <c r="X81" s="71">
        <f t="shared" si="51"/>
        <v>2.8814272036179585</v>
      </c>
      <c r="Y81" s="71">
        <f t="shared" si="51"/>
        <v>2.6157990074133606</v>
      </c>
      <c r="Z81" s="71">
        <f>Z39+Z64*(Z76-Z34)+Z60*(Z78-Z36)</f>
        <v>1.6829004527084725</v>
      </c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</row>
    <row r="82" spans="1:26" s="43" customFormat="1" ht="13.5" customHeight="1">
      <c r="A82" s="1"/>
      <c r="B82" s="43">
        <f aca="true" t="shared" si="52" ref="B82:Z82">C77-B77</f>
        <v>1.46331501774727</v>
      </c>
      <c r="C82" s="43">
        <f t="shared" si="52"/>
        <v>1.4065896093388766</v>
      </c>
      <c r="D82" s="43">
        <f t="shared" si="52"/>
        <v>1.266465116569094</v>
      </c>
      <c r="E82" s="43">
        <f t="shared" si="52"/>
        <v>1.040608077635433</v>
      </c>
      <c r="F82" s="43">
        <f t="shared" si="52"/>
        <v>0.7405426443284746</v>
      </c>
      <c r="G82" s="43">
        <f t="shared" si="52"/>
        <v>0.38549055881939864</v>
      </c>
      <c r="H82" s="43">
        <f t="shared" si="52"/>
        <v>-0.0027301988336070337</v>
      </c>
      <c r="I82" s="43">
        <f t="shared" si="52"/>
        <v>-0.4027773149403302</v>
      </c>
      <c r="J82" s="43">
        <f t="shared" si="52"/>
        <v>-0.7943963979119282</v>
      </c>
      <c r="K82" s="43">
        <f t="shared" si="52"/>
        <v>-1.1569626468536391</v>
      </c>
      <c r="L82" s="43">
        <f t="shared" si="52"/>
        <v>-1.4674379596371274</v>
      </c>
      <c r="M82" s="43">
        <f t="shared" si="52"/>
        <v>-1.699523060187543</v>
      </c>
      <c r="N82" s="43">
        <f t="shared" si="52"/>
        <v>-1.8248315771933807</v>
      </c>
      <c r="O82" s="43">
        <f t="shared" si="52"/>
        <v>-1.8157268055364089</v>
      </c>
      <c r="P82" s="43">
        <f t="shared" si="52"/>
        <v>-1.649291164756848</v>
      </c>
      <c r="Q82" s="43">
        <f t="shared" si="52"/>
        <v>-1.3130618632017779</v>
      </c>
      <c r="R82" s="43">
        <f t="shared" si="52"/>
        <v>-0.8151068520014713</v>
      </c>
      <c r="S82" s="43">
        <f t="shared" si="52"/>
        <v>-0.20120756354952185</v>
      </c>
      <c r="T82" s="43">
        <f t="shared" si="52"/>
        <v>0.4281877302787134</v>
      </c>
      <c r="U82" s="43">
        <f t="shared" si="52"/>
        <v>0.9361866650280399</v>
      </c>
      <c r="V82" s="43">
        <f t="shared" si="52"/>
        <v>1.2355656153948757</v>
      </c>
      <c r="W82" s="43">
        <f t="shared" si="52"/>
        <v>1.363331670433837</v>
      </c>
      <c r="X82" s="43">
        <f t="shared" si="52"/>
        <v>1.4197096039225165</v>
      </c>
      <c r="Y82" s="43">
        <f t="shared" si="52"/>
        <v>1.4570610951070524</v>
      </c>
      <c r="Z82" s="43">
        <f t="shared" si="52"/>
        <v>-14.199999999999998</v>
      </c>
    </row>
    <row r="83" spans="1:182" ht="13.5" customHeight="1" thickBot="1">
      <c r="A83" s="20" t="s">
        <v>138</v>
      </c>
      <c r="B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</row>
    <row r="84" spans="1:182" s="39" customFormat="1" ht="13.5" customHeight="1">
      <c r="A84" s="16" t="s">
        <v>98</v>
      </c>
      <c r="B84" s="72">
        <f aca="true" t="shared" si="53" ref="B84:Y84">$F$6+($B$10-$F$6)*COS(B58-$B$58)-($D$10-$F$7)*SIN(B58-$B$58)</f>
        <v>27.442404899026897</v>
      </c>
      <c r="C84" s="72">
        <f t="shared" si="53"/>
        <v>26.94353530419251</v>
      </c>
      <c r="D84" s="72">
        <f t="shared" si="53"/>
        <v>25.98686823936783</v>
      </c>
      <c r="E84" s="72">
        <f t="shared" si="53"/>
        <v>24.676317816262166</v>
      </c>
      <c r="F84" s="72">
        <f t="shared" si="53"/>
        <v>23.117075024819584</v>
      </c>
      <c r="G84" s="72">
        <f t="shared" si="53"/>
        <v>21.4185148277073</v>
      </c>
      <c r="H84" s="72">
        <f t="shared" si="53"/>
        <v>19.690992523193117</v>
      </c>
      <c r="I84" s="72">
        <f t="shared" si="53"/>
        <v>18.038080252268074</v>
      </c>
      <c r="J84" s="72">
        <f t="shared" si="53"/>
        <v>16.54752164306675</v>
      </c>
      <c r="K84" s="72">
        <f t="shared" si="53"/>
        <v>15.284647968523933</v>
      </c>
      <c r="L84" s="72">
        <f t="shared" si="53"/>
        <v>14.291112392522454</v>
      </c>
      <c r="M84" s="72">
        <f t="shared" si="53"/>
        <v>13.589504147391322</v>
      </c>
      <c r="N84" s="72">
        <f t="shared" si="53"/>
        <v>13.191958418868976</v>
      </c>
      <c r="O84" s="72">
        <f t="shared" si="53"/>
        <v>13.109865925756536</v>
      </c>
      <c r="P84" s="72">
        <f t="shared" si="53"/>
        <v>13.362313444145327</v>
      </c>
      <c r="Q84" s="72">
        <f t="shared" si="53"/>
        <v>13.981484413955659</v>
      </c>
      <c r="R84" s="72">
        <f t="shared" si="53"/>
        <v>15.012100563369604</v>
      </c>
      <c r="S84" s="72">
        <f t="shared" si="53"/>
        <v>16.49783177147069</v>
      </c>
      <c r="T84" s="72">
        <f t="shared" si="53"/>
        <v>18.442177565854372</v>
      </c>
      <c r="U84" s="72">
        <f t="shared" si="53"/>
        <v>20.738508953162576</v>
      </c>
      <c r="V84" s="72">
        <f t="shared" si="53"/>
        <v>23.112624181644108</v>
      </c>
      <c r="W84" s="72">
        <f t="shared" si="53"/>
        <v>25.18136646487643</v>
      </c>
      <c r="X84" s="72">
        <f t="shared" si="53"/>
        <v>26.63783275129015</v>
      </c>
      <c r="Y84" s="72">
        <f t="shared" si="53"/>
        <v>27.375318545919466</v>
      </c>
      <c r="Z84" s="72">
        <f>$F$6+($B$10-$F$6)*COS(Z58-$B$58)-($D$10-$F$7)*SIN(Z58-$B$58)</f>
        <v>27.442404899026897</v>
      </c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</row>
    <row r="85" spans="1:256" s="43" customFormat="1" ht="13.5" customHeight="1">
      <c r="A85" s="17" t="s">
        <v>99</v>
      </c>
      <c r="B85" s="73">
        <f aca="true" t="shared" si="54" ref="B85:Y85">$F$7+($B$10-$F$6)*SIN(B58-$B$58)+($D$10-$F$7)*COS(B58-$B$58)</f>
        <v>-2.8394286953485413</v>
      </c>
      <c r="C85" s="73">
        <f t="shared" si="54"/>
        <v>-2.4386170513923062</v>
      </c>
      <c r="D85" s="73">
        <f t="shared" si="54"/>
        <v>-1.7284424699946115</v>
      </c>
      <c r="E85" s="73">
        <f t="shared" si="54"/>
        <v>-0.8680374474790291</v>
      </c>
      <c r="F85" s="73">
        <f t="shared" si="54"/>
        <v>0.0058929149299089545</v>
      </c>
      <c r="G85" s="73">
        <f t="shared" si="54"/>
        <v>0.7939490442822539</v>
      </c>
      <c r="H85" s="73">
        <f t="shared" si="54"/>
        <v>1.4378237968690595</v>
      </c>
      <c r="I85" s="73">
        <f t="shared" si="54"/>
        <v>1.9172440002700917</v>
      </c>
      <c r="J85" s="73">
        <f t="shared" si="54"/>
        <v>2.2419339809427328</v>
      </c>
      <c r="K85" s="73">
        <f t="shared" si="54"/>
        <v>2.440441169242858</v>
      </c>
      <c r="L85" s="73">
        <f t="shared" si="54"/>
        <v>2.548497834493455</v>
      </c>
      <c r="M85" s="73">
        <f t="shared" si="54"/>
        <v>2.599641801173135</v>
      </c>
      <c r="N85" s="73">
        <f t="shared" si="54"/>
        <v>2.6194401793862028</v>
      </c>
      <c r="O85" s="73">
        <f t="shared" si="54"/>
        <v>2.6227035260889213</v>
      </c>
      <c r="P85" s="73">
        <f t="shared" si="54"/>
        <v>2.611767551930555</v>
      </c>
      <c r="Q85" s="73">
        <f t="shared" si="54"/>
        <v>2.573623798720483</v>
      </c>
      <c r="R85" s="73">
        <f t="shared" si="54"/>
        <v>2.4742652971968067</v>
      </c>
      <c r="S85" s="73">
        <f t="shared" si="54"/>
        <v>2.251056071100871</v>
      </c>
      <c r="T85" s="73">
        <f t="shared" si="54"/>
        <v>1.8118761513717097</v>
      </c>
      <c r="U85" s="73">
        <f t="shared" si="54"/>
        <v>1.0655419084081785</v>
      </c>
      <c r="V85" s="73">
        <f t="shared" si="54"/>
        <v>0.008172926607205255</v>
      </c>
      <c r="W85" s="73">
        <f t="shared" si="54"/>
        <v>-1.185136721702989</v>
      </c>
      <c r="X85" s="73">
        <f t="shared" si="54"/>
        <v>-2.2035975784501893</v>
      </c>
      <c r="Y85" s="73">
        <f t="shared" si="54"/>
        <v>-2.78424165663548</v>
      </c>
      <c r="Z85" s="73">
        <f>$F$7+($B$10-$F$6)*SIN(Z58-$B$58)+($D$10-$F$7)*COS(Z58-$B$58)</f>
        <v>-2.8394286953485413</v>
      </c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  <c r="IV85" s="73"/>
    </row>
    <row r="86" spans="1:256" s="43" customFormat="1" ht="13.5" customHeight="1">
      <c r="A86" s="17" t="s">
        <v>100</v>
      </c>
      <c r="B86" s="73">
        <f aca="true" t="shared" si="55" ref="B86:Y86">-B61*(B85-$F$7)</f>
        <v>-0.8952028418121799</v>
      </c>
      <c r="C86" s="73">
        <f t="shared" si="55"/>
        <v>-2.8468454925265765</v>
      </c>
      <c r="D86" s="73">
        <f t="shared" si="55"/>
        <v>-4.407390036974796</v>
      </c>
      <c r="E86" s="73">
        <f t="shared" si="55"/>
        <v>-5.592807399992202</v>
      </c>
      <c r="F86" s="73">
        <f t="shared" si="55"/>
        <v>-6.391377140006151</v>
      </c>
      <c r="G86" s="73">
        <f t="shared" si="55"/>
        <v>-6.785045399976936</v>
      </c>
      <c r="H86" s="73">
        <f t="shared" si="55"/>
        <v>-6.772130746884344</v>
      </c>
      <c r="I86" s="73">
        <f t="shared" si="55"/>
        <v>-6.3813807860183225</v>
      </c>
      <c r="J86" s="73">
        <f t="shared" si="55"/>
        <v>-5.67308502121301</v>
      </c>
      <c r="K86" s="73">
        <f t="shared" si="55"/>
        <v>-4.726260335042291</v>
      </c>
      <c r="L86" s="73">
        <f t="shared" si="55"/>
        <v>-3.616707236407118</v>
      </c>
      <c r="M86" s="73">
        <f t="shared" si="55"/>
        <v>-2.3955227977353415</v>
      </c>
      <c r="N86" s="73">
        <f t="shared" si="55"/>
        <v>-1.0761087242937926</v>
      </c>
      <c r="O86" s="73">
        <f t="shared" si="55"/>
        <v>0.3686294914981657</v>
      </c>
      <c r="P86" s="73">
        <f t="shared" si="55"/>
        <v>2.0010165037335343</v>
      </c>
      <c r="Q86" s="73">
        <f t="shared" si="55"/>
        <v>3.9035313716791626</v>
      </c>
      <c r="R86" s="73">
        <f t="shared" si="55"/>
        <v>6.139456595525195</v>
      </c>
      <c r="S86" s="73">
        <f t="shared" si="55"/>
        <v>8.65638371274988</v>
      </c>
      <c r="T86" s="73">
        <f t="shared" si="55"/>
        <v>11.106137491038934</v>
      </c>
      <c r="U86" s="73">
        <f t="shared" si="55"/>
        <v>12.69084581267055</v>
      </c>
      <c r="V86" s="73">
        <f t="shared" si="55"/>
        <v>12.434471063731074</v>
      </c>
      <c r="W86" s="73">
        <f t="shared" si="55"/>
        <v>10.040632735719855</v>
      </c>
      <c r="X86" s="73">
        <f t="shared" si="55"/>
        <v>6.294463289848423</v>
      </c>
      <c r="Y86" s="73">
        <f t="shared" si="55"/>
        <v>2.274873630739888</v>
      </c>
      <c r="Z86" s="73">
        <f>-Z61*(Z85-$F$7)</f>
        <v>-1.414437187042664</v>
      </c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  <c r="IV86" s="73"/>
    </row>
    <row r="87" spans="1:256" s="43" customFormat="1" ht="13.5" customHeight="1">
      <c r="A87" s="17" t="s">
        <v>101</v>
      </c>
      <c r="B87" s="73">
        <f aca="true" t="shared" si="56" ref="B87:Y87">B61*(B84-$F$6)</f>
        <v>0.7391452819351624</v>
      </c>
      <c r="C87" s="73">
        <f t="shared" si="56"/>
        <v>2.2253175781972665</v>
      </c>
      <c r="D87" s="73">
        <f t="shared" si="56"/>
        <v>3.1047148713696315</v>
      </c>
      <c r="E87" s="73">
        <f t="shared" si="56"/>
        <v>3.4151218918926696</v>
      </c>
      <c r="F87" s="73">
        <f t="shared" si="56"/>
        <v>3.2749222962849722</v>
      </c>
      <c r="G87" s="73">
        <f t="shared" si="56"/>
        <v>2.8310032534695986</v>
      </c>
      <c r="H87" s="73">
        <f t="shared" si="56"/>
        <v>2.23108338089867</v>
      </c>
      <c r="I87" s="73">
        <f t="shared" si="56"/>
        <v>1.6046268518616205</v>
      </c>
      <c r="J87" s="73">
        <f t="shared" si="56"/>
        <v>1.0476564895920122</v>
      </c>
      <c r="K87" s="73">
        <f t="shared" si="56"/>
        <v>0.6140934465906728</v>
      </c>
      <c r="L87" s="73">
        <f t="shared" si="56"/>
        <v>0.31712443167962745</v>
      </c>
      <c r="M87" s="73">
        <f t="shared" si="56"/>
        <v>0.13927358787696706</v>
      </c>
      <c r="N87" s="73">
        <f t="shared" si="56"/>
        <v>0.04462709414083681</v>
      </c>
      <c r="O87" s="73">
        <f t="shared" si="56"/>
        <v>-0.014020297211699558</v>
      </c>
      <c r="P87" s="73">
        <f t="shared" si="56"/>
        <v>-0.09726626771505181</v>
      </c>
      <c r="Q87" s="73">
        <f t="shared" si="56"/>
        <v>-0.29128716933229437</v>
      </c>
      <c r="R87" s="73">
        <f t="shared" si="56"/>
        <v>-0.7261957051137686</v>
      </c>
      <c r="S87" s="73">
        <f t="shared" si="56"/>
        <v>-1.5797032979913752</v>
      </c>
      <c r="T87" s="73">
        <f t="shared" si="56"/>
        <v>-2.9996042656079576</v>
      </c>
      <c r="U87" s="73">
        <f t="shared" si="56"/>
        <v>-4.844993295420922</v>
      </c>
      <c r="V87" s="73">
        <f t="shared" si="56"/>
        <v>-6.3681062699931505</v>
      </c>
      <c r="W87" s="73">
        <f t="shared" si="56"/>
        <v>-6.479841860135641</v>
      </c>
      <c r="X87" s="73">
        <f t="shared" si="56"/>
        <v>-4.75892821233245</v>
      </c>
      <c r="Y87" s="73">
        <f t="shared" si="56"/>
        <v>-1.864462224986954</v>
      </c>
      <c r="Z87" s="73">
        <f>Z61*(Z84-$F$6)</f>
        <v>1.1678633317113354</v>
      </c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  <c r="IV87" s="73"/>
    </row>
    <row r="88" spans="1:256" s="43" customFormat="1" ht="13.5" customHeight="1">
      <c r="A88" s="17" t="s">
        <v>102</v>
      </c>
      <c r="B88" s="73">
        <f aca="true" t="shared" si="57" ref="B88:Y88">-B61*B87-B65*(B85-$F$7)</f>
        <v>-8.254517841189884</v>
      </c>
      <c r="C88" s="73">
        <f t="shared" si="57"/>
        <v>-6.701074777827292</v>
      </c>
      <c r="D88" s="73">
        <f t="shared" si="57"/>
        <v>-5.280541887762496</v>
      </c>
      <c r="E88" s="73">
        <f t="shared" si="57"/>
        <v>-3.8584614486055115</v>
      </c>
      <c r="F88" s="73">
        <f t="shared" si="57"/>
        <v>-2.3506877176532597</v>
      </c>
      <c r="G88" s="73">
        <f t="shared" si="57"/>
        <v>-0.7670722986890482</v>
      </c>
      <c r="H88" s="73">
        <f t="shared" si="57"/>
        <v>0.8052053183077957</v>
      </c>
      <c r="I88" s="73">
        <f t="shared" si="57"/>
        <v>2.2405067390628695</v>
      </c>
      <c r="J88" s="73">
        <f t="shared" si="57"/>
        <v>3.4278063106784797</v>
      </c>
      <c r="K88" s="73">
        <f t="shared" si="57"/>
        <v>4.322966536019838</v>
      </c>
      <c r="L88" s="73">
        <f t="shared" si="57"/>
        <v>4.97471911473335</v>
      </c>
      <c r="M88" s="73">
        <f t="shared" si="57"/>
        <v>5.5118999688010435</v>
      </c>
      <c r="N88" s="73">
        <f t="shared" si="57"/>
        <v>6.107350709052897</v>
      </c>
      <c r="O88" s="73">
        <f t="shared" si="57"/>
        <v>6.942476650589796</v>
      </c>
      <c r="P88" s="73">
        <f t="shared" si="57"/>
        <v>8.173750276988097</v>
      </c>
      <c r="Q88" s="73">
        <f t="shared" si="57"/>
        <v>9.86170606957733</v>
      </c>
      <c r="R88" s="73">
        <f t="shared" si="57"/>
        <v>11.772907277222794</v>
      </c>
      <c r="S88" s="73">
        <f t="shared" si="57"/>
        <v>12.952473223411618</v>
      </c>
      <c r="T88" s="73">
        <f t="shared" si="57"/>
        <v>11.270394894287117</v>
      </c>
      <c r="U88" s="73">
        <f t="shared" si="57"/>
        <v>4.233533764513824</v>
      </c>
      <c r="V88" s="73">
        <f t="shared" si="57"/>
        <v>-7.5051465637903645</v>
      </c>
      <c r="W88" s="73">
        <f t="shared" si="57"/>
        <v>-18.24670096271399</v>
      </c>
      <c r="X88" s="73">
        <f t="shared" si="57"/>
        <v>-23.135360905038098</v>
      </c>
      <c r="Y88" s="73">
        <f t="shared" si="57"/>
        <v>-22.988736129523268</v>
      </c>
      <c r="Z88" s="73">
        <f>-Z61*Z87-Z65*(Z85-$F$7)</f>
        <v>-20.821913537553037</v>
      </c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  <c r="IV88" s="73"/>
    </row>
    <row r="89" spans="1:256" s="64" customFormat="1" ht="13.5" customHeight="1" thickBot="1">
      <c r="A89" s="18" t="s">
        <v>103</v>
      </c>
      <c r="B89" s="74">
        <f aca="true" t="shared" si="58" ref="B89:Y89">B61*B86+B65*(B84-$F$6)</f>
        <v>6.742531271201742</v>
      </c>
      <c r="C89" s="74">
        <f t="shared" si="58"/>
        <v>4.5458472061353925</v>
      </c>
      <c r="D89" s="74">
        <f t="shared" si="58"/>
        <v>2.234763063770516</v>
      </c>
      <c r="E89" s="74">
        <f t="shared" si="58"/>
        <v>0.2543485067255258</v>
      </c>
      <c r="F89" s="74">
        <f t="shared" si="58"/>
        <v>-1.2161979656246826</v>
      </c>
      <c r="G89" s="74">
        <f t="shared" si="58"/>
        <v>-2.126380985461412</v>
      </c>
      <c r="H89" s="74">
        <f t="shared" si="58"/>
        <v>-2.501174933562842</v>
      </c>
      <c r="I89" s="74">
        <f t="shared" si="58"/>
        <v>-2.428242827513024</v>
      </c>
      <c r="J89" s="74">
        <f t="shared" si="58"/>
        <v>-2.0467281889846523</v>
      </c>
      <c r="K89" s="74">
        <f t="shared" si="58"/>
        <v>-1.5184838900877058</v>
      </c>
      <c r="L89" s="74">
        <f t="shared" si="58"/>
        <v>-0.9889023657948939</v>
      </c>
      <c r="M89" s="74">
        <f t="shared" si="58"/>
        <v>-0.561378056835415</v>
      </c>
      <c r="N89" s="74">
        <f t="shared" si="58"/>
        <v>-0.3017729287445361</v>
      </c>
      <c r="O89" s="74">
        <f t="shared" si="58"/>
        <v>-0.2697357014198252</v>
      </c>
      <c r="P89" s="74">
        <f t="shared" si="58"/>
        <v>-0.5651605462343992</v>
      </c>
      <c r="Q89" s="74">
        <f t="shared" si="58"/>
        <v>-1.3777079391033953</v>
      </c>
      <c r="R89" s="74">
        <f t="shared" si="58"/>
        <v>-3.0001720678051784</v>
      </c>
      <c r="S89" s="74">
        <f t="shared" si="58"/>
        <v>-5.6513810688119435</v>
      </c>
      <c r="T89" s="74">
        <f t="shared" si="58"/>
        <v>-8.770197649035195</v>
      </c>
      <c r="U89" s="74">
        <f t="shared" si="58"/>
        <v>-9.86694596219489</v>
      </c>
      <c r="V89" s="74">
        <f t="shared" si="58"/>
        <v>-5.31570701120289</v>
      </c>
      <c r="W89" s="74">
        <f t="shared" si="58"/>
        <v>4.676365650842862</v>
      </c>
      <c r="X89" s="74">
        <f t="shared" si="58"/>
        <v>14.230785440697613</v>
      </c>
      <c r="Y89" s="74">
        <f t="shared" si="58"/>
        <v>18.37408536017566</v>
      </c>
      <c r="Z89" s="74">
        <f>Z61*Z86+Z65*(Z84-$F$6)</f>
        <v>17.0098473342018</v>
      </c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G89" s="74"/>
      <c r="HH89" s="74"/>
      <c r="HI89" s="74"/>
      <c r="HJ89" s="74"/>
      <c r="HK89" s="74"/>
      <c r="HL89" s="74"/>
      <c r="HM89" s="74"/>
      <c r="HN89" s="74"/>
      <c r="HO89" s="74"/>
      <c r="HP89" s="74"/>
      <c r="HQ89" s="74"/>
      <c r="HR89" s="74"/>
      <c r="HS89" s="74"/>
      <c r="HT89" s="74"/>
      <c r="HU89" s="74"/>
      <c r="HV89" s="74"/>
      <c r="HW89" s="74"/>
      <c r="HX89" s="74"/>
      <c r="HY89" s="74"/>
      <c r="HZ89" s="74"/>
      <c r="IA89" s="74"/>
      <c r="IB89" s="74"/>
      <c r="IC89" s="74"/>
      <c r="ID89" s="74"/>
      <c r="IE89" s="74"/>
      <c r="IF89" s="74"/>
      <c r="IG89" s="74"/>
      <c r="IH89" s="74"/>
      <c r="II89" s="74"/>
      <c r="IJ89" s="74"/>
      <c r="IK89" s="74"/>
      <c r="IL89" s="74"/>
      <c r="IM89" s="74"/>
      <c r="IN89" s="74"/>
      <c r="IO89" s="74"/>
      <c r="IP89" s="74"/>
      <c r="IQ89" s="74"/>
      <c r="IR89" s="74"/>
      <c r="IS89" s="74"/>
      <c r="IT89" s="74"/>
      <c r="IU89" s="74"/>
      <c r="IV89" s="74"/>
    </row>
    <row r="90" spans="1:182" ht="13.5" customHeight="1">
      <c r="A90" s="3"/>
      <c r="B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</row>
    <row r="91" spans="1:182" ht="13.5" customHeight="1" thickBot="1">
      <c r="A91" s="21" t="s">
        <v>97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</row>
    <row r="92" spans="1:26" s="39" customFormat="1" ht="13.5" customHeight="1">
      <c r="A92" s="16" t="s">
        <v>104</v>
      </c>
      <c r="B92" s="39">
        <f aca="true" t="shared" si="59" ref="B92:Y92">$F$6+($B$14-$F$6)*COS(B58-$B$58)-($D$14-$F$7)*SIN(B58-$B$58)</f>
        <v>34.5</v>
      </c>
      <c r="C92" s="39">
        <f t="shared" si="59"/>
        <v>33.735615470450654</v>
      </c>
      <c r="D92" s="39">
        <f t="shared" si="59"/>
        <v>32.271786488014016</v>
      </c>
      <c r="E92" s="39">
        <f t="shared" si="59"/>
        <v>30.27033239571847</v>
      </c>
      <c r="F92" s="39">
        <f t="shared" si="59"/>
        <v>27.894223288003896</v>
      </c>
      <c r="G92" s="39">
        <f t="shared" si="59"/>
        <v>25.311442987168554</v>
      </c>
      <c r="H92" s="39">
        <f t="shared" si="59"/>
        <v>22.690038653460316</v>
      </c>
      <c r="I92" s="39">
        <f t="shared" si="59"/>
        <v>20.18654466097307</v>
      </c>
      <c r="J92" s="39">
        <f t="shared" si="59"/>
        <v>17.932648759307856</v>
      </c>
      <c r="K92" s="39">
        <f t="shared" si="59"/>
        <v>16.025669706933883</v>
      </c>
      <c r="L92" s="39">
        <f t="shared" si="59"/>
        <v>14.527052603758118</v>
      </c>
      <c r="M92" s="39">
        <f t="shared" si="59"/>
        <v>13.469633747422527</v>
      </c>
      <c r="N92" s="39">
        <f t="shared" si="59"/>
        <v>12.87079377734431</v>
      </c>
      <c r="O92" s="39">
        <f t="shared" si="59"/>
        <v>12.74716271951922</v>
      </c>
      <c r="P92" s="39">
        <f t="shared" si="59"/>
        <v>13.127378895719769</v>
      </c>
      <c r="Q92" s="39">
        <f t="shared" si="59"/>
        <v>14.060313419838735</v>
      </c>
      <c r="R92" s="39">
        <f t="shared" si="59"/>
        <v>15.614424299992177</v>
      </c>
      <c r="S92" s="39">
        <f t="shared" si="59"/>
        <v>17.85757043146984</v>
      </c>
      <c r="T92" s="39">
        <f t="shared" si="59"/>
        <v>20.798182040024784</v>
      </c>
      <c r="U92" s="39">
        <f t="shared" si="59"/>
        <v>24.278954347114997</v>
      </c>
      <c r="V92" s="39">
        <f t="shared" si="59"/>
        <v>27.887448080915263</v>
      </c>
      <c r="W92" s="39">
        <f t="shared" si="59"/>
        <v>31.041138235556055</v>
      </c>
      <c r="X92" s="39">
        <f t="shared" si="59"/>
        <v>33.26757183949205</v>
      </c>
      <c r="Y92" s="39">
        <f t="shared" si="59"/>
        <v>34.39716384508243</v>
      </c>
      <c r="Z92" s="39">
        <f>$F$6+($B$14-$F$6)*COS(Z58-$B$58)-($D$14-$F$7)*SIN(Z58-$B$58)</f>
        <v>34.5</v>
      </c>
    </row>
    <row r="93" spans="1:26" s="43" customFormat="1" ht="13.5" customHeight="1">
      <c r="A93" s="17" t="s">
        <v>105</v>
      </c>
      <c r="B93" s="43">
        <f aca="true" t="shared" si="60" ref="B93:Y93">$F$7+($B$14-$F$6)*SIN(B58-$B$58)+($D$14-$F$7)*COS(B58-$B$58)</f>
        <v>7</v>
      </c>
      <c r="C93" s="43">
        <f t="shared" si="60"/>
        <v>7.585935441125784</v>
      </c>
      <c r="D93" s="43">
        <f t="shared" si="60"/>
        <v>8.621620731163247</v>
      </c>
      <c r="E93" s="43">
        <f t="shared" si="60"/>
        <v>9.871190017518543</v>
      </c>
      <c r="F93" s="43">
        <f t="shared" si="60"/>
        <v>11.13256627814512</v>
      </c>
      <c r="G93" s="43">
        <f t="shared" si="60"/>
        <v>12.259947300230202</v>
      </c>
      <c r="H93" s="43">
        <f t="shared" si="60"/>
        <v>13.16939351147491</v>
      </c>
      <c r="I93" s="43">
        <f t="shared" si="60"/>
        <v>13.833959417894857</v>
      </c>
      <c r="J93" s="43">
        <f t="shared" si="60"/>
        <v>14.27129092684726</v>
      </c>
      <c r="K93" s="43">
        <f t="shared" si="60"/>
        <v>14.526585816868574</v>
      </c>
      <c r="L93" s="43">
        <f t="shared" si="60"/>
        <v>14.655038953939993</v>
      </c>
      <c r="M93" s="43">
        <f t="shared" si="60"/>
        <v>14.707888443331493</v>
      </c>
      <c r="N93" s="43">
        <f t="shared" si="60"/>
        <v>14.724020260213548</v>
      </c>
      <c r="O93" s="43">
        <f t="shared" si="60"/>
        <v>14.726110155807389</v>
      </c>
      <c r="P93" s="43">
        <f t="shared" si="60"/>
        <v>14.718328228608469</v>
      </c>
      <c r="Q93" s="43">
        <f t="shared" si="60"/>
        <v>14.68220718605194</v>
      </c>
      <c r="R93" s="43">
        <f t="shared" si="60"/>
        <v>14.568115460665382</v>
      </c>
      <c r="S93" s="43">
        <f t="shared" si="60"/>
        <v>14.283309244826544</v>
      </c>
      <c r="T93" s="43">
        <f t="shared" si="60"/>
        <v>13.689302159468616</v>
      </c>
      <c r="U93" s="43">
        <f t="shared" si="60"/>
        <v>12.645233271849994</v>
      </c>
      <c r="V93" s="43">
        <f t="shared" si="60"/>
        <v>11.135843949380874</v>
      </c>
      <c r="W93" s="43">
        <f t="shared" si="60"/>
        <v>9.411423118909152</v>
      </c>
      <c r="X93" s="43">
        <f t="shared" si="60"/>
        <v>7.929050904670881</v>
      </c>
      <c r="Y93" s="43">
        <f t="shared" si="60"/>
        <v>7.080731442909737</v>
      </c>
      <c r="Z93" s="43">
        <f>$F$7+($B$14-$F$6)*SIN(Z58-$B$58)+($D$14-$F$7)*COS(Z58-$B$58)</f>
        <v>7</v>
      </c>
    </row>
    <row r="94" spans="1:26" s="43" customFormat="1" ht="13.5" customHeight="1">
      <c r="A94" s="17" t="s">
        <v>106</v>
      </c>
      <c r="B94" s="43">
        <f aca="true" t="shared" si="61" ref="B94:Y94">-B61*(B93-$F$7)</f>
        <v>-1.372343250119312</v>
      </c>
      <c r="C94" s="43">
        <f t="shared" si="61"/>
        <v>-4.359902735236758</v>
      </c>
      <c r="D94" s="43">
        <f t="shared" si="61"/>
        <v>-6.7381583146096755</v>
      </c>
      <c r="E94" s="43">
        <f t="shared" si="61"/>
        <v>-8.532438415957783</v>
      </c>
      <c r="F94" s="43">
        <f t="shared" si="61"/>
        <v>-9.729175093929783</v>
      </c>
      <c r="G94" s="43">
        <f t="shared" si="61"/>
        <v>-10.306250168157415</v>
      </c>
      <c r="H94" s="43">
        <f t="shared" si="61"/>
        <v>-10.266208486392522</v>
      </c>
      <c r="I94" s="43">
        <f t="shared" si="61"/>
        <v>-9.656752264114273</v>
      </c>
      <c r="J94" s="43">
        <f t="shared" si="61"/>
        <v>-8.571893791974114</v>
      </c>
      <c r="K94" s="43">
        <f t="shared" si="61"/>
        <v>-7.132376786056789</v>
      </c>
      <c r="L94" s="43">
        <f t="shared" si="61"/>
        <v>-5.452706097988775</v>
      </c>
      <c r="M94" s="43">
        <f t="shared" si="61"/>
        <v>-3.6091636176772113</v>
      </c>
      <c r="N94" s="43">
        <f t="shared" si="61"/>
        <v>-1.6206801745954116</v>
      </c>
      <c r="O94" s="43">
        <f t="shared" si="61"/>
        <v>0.5551331877230913</v>
      </c>
      <c r="P94" s="43">
        <f t="shared" si="61"/>
        <v>3.014133901469698</v>
      </c>
      <c r="Q94" s="43">
        <f t="shared" si="61"/>
        <v>5.883383090779081</v>
      </c>
      <c r="R94" s="43">
        <f t="shared" si="61"/>
        <v>9.262567540205168</v>
      </c>
      <c r="S94" s="43">
        <f t="shared" si="61"/>
        <v>13.07893699810042</v>
      </c>
      <c r="T94" s="43">
        <f t="shared" si="61"/>
        <v>16.813693442862295</v>
      </c>
      <c r="U94" s="43">
        <f t="shared" si="61"/>
        <v>19.26149266994637</v>
      </c>
      <c r="V94" s="43">
        <f t="shared" si="61"/>
        <v>18.928068793390075</v>
      </c>
      <c r="W94" s="43">
        <f t="shared" si="61"/>
        <v>15.330062952054512</v>
      </c>
      <c r="X94" s="43">
        <f t="shared" si="61"/>
        <v>9.63433760219378</v>
      </c>
      <c r="Y94" s="43">
        <f t="shared" si="61"/>
        <v>3.4868989097453316</v>
      </c>
      <c r="Z94" s="43">
        <f>-Z61*(Z93-$F$7)</f>
        <v>-2.168327931607485</v>
      </c>
    </row>
    <row r="95" spans="1:26" s="43" customFormat="1" ht="13.5" customHeight="1">
      <c r="A95" s="17" t="s">
        <v>107</v>
      </c>
      <c r="B95" s="43">
        <f aca="true" t="shared" si="62" ref="B95:Y95">B61*(B92-$F$6)</f>
        <v>1.0813870840162776</v>
      </c>
      <c r="C95" s="43">
        <f t="shared" si="62"/>
        <v>3.250481154954956</v>
      </c>
      <c r="D95" s="43">
        <f t="shared" si="62"/>
        <v>4.520038410634044</v>
      </c>
      <c r="E95" s="43">
        <f t="shared" si="62"/>
        <v>4.946362273487205</v>
      </c>
      <c r="F95" s="43">
        <f t="shared" si="62"/>
        <v>4.707979165839634</v>
      </c>
      <c r="G95" s="43">
        <f t="shared" si="62"/>
        <v>4.026520372109326</v>
      </c>
      <c r="H95" s="43">
        <f t="shared" si="62"/>
        <v>3.1243057354893335</v>
      </c>
      <c r="I95" s="43">
        <f t="shared" si="62"/>
        <v>2.195143516845405</v>
      </c>
      <c r="J95" s="43">
        <f t="shared" si="62"/>
        <v>1.3814414667304415</v>
      </c>
      <c r="K95" s="43">
        <f t="shared" si="62"/>
        <v>0.7616164696332445</v>
      </c>
      <c r="L95" s="43">
        <f t="shared" si="62"/>
        <v>0.3529055813041223</v>
      </c>
      <c r="M95" s="43">
        <f t="shared" si="62"/>
        <v>0.12725866822721707</v>
      </c>
      <c r="N95" s="43">
        <f t="shared" si="62"/>
        <v>0.03017825796041371</v>
      </c>
      <c r="O95" s="43">
        <f t="shared" si="62"/>
        <v>-0.008431334478695502</v>
      </c>
      <c r="P95" s="43">
        <f t="shared" si="62"/>
        <v>-0.07760616071226471</v>
      </c>
      <c r="Q95" s="43">
        <f t="shared" si="62"/>
        <v>-0.304176351974075</v>
      </c>
      <c r="R95" s="43">
        <f t="shared" si="62"/>
        <v>-0.8817395417464344</v>
      </c>
      <c r="S95" s="43">
        <f t="shared" si="62"/>
        <v>-2.0794863885873114</v>
      </c>
      <c r="T95" s="43">
        <f t="shared" si="62"/>
        <v>-4.131754223848648</v>
      </c>
      <c r="U95" s="43">
        <f t="shared" si="62"/>
        <v>-6.853942901329564</v>
      </c>
      <c r="V95" s="43">
        <f t="shared" si="62"/>
        <v>-9.154474196253092</v>
      </c>
      <c r="W95" s="43">
        <f t="shared" si="62"/>
        <v>-9.404833964258666</v>
      </c>
      <c r="X95" s="43">
        <f t="shared" si="62"/>
        <v>-6.9441905665059265</v>
      </c>
      <c r="Y95" s="43">
        <f t="shared" si="62"/>
        <v>-2.727176590446643</v>
      </c>
      <c r="Z95" s="43">
        <f>Z61*(Z92-$F$6)</f>
        <v>1.7086117623620818</v>
      </c>
    </row>
    <row r="96" spans="1:26" s="43" customFormat="1" ht="13.5" customHeight="1">
      <c r="A96" s="17" t="s">
        <v>108</v>
      </c>
      <c r="B96" s="43">
        <f aca="true" t="shared" si="63" ref="B96:Y96">-B61*B95-B65*(B93-$F$7)</f>
        <v>-12.651642833990419</v>
      </c>
      <c r="C96" s="43">
        <f t="shared" si="63"/>
        <v>-10.238817767140688</v>
      </c>
      <c r="D96" s="43">
        <f t="shared" si="63"/>
        <v>-8.022043381713793</v>
      </c>
      <c r="E96" s="43">
        <f t="shared" si="63"/>
        <v>-5.8143004611043905</v>
      </c>
      <c r="F96" s="43">
        <f t="shared" si="63"/>
        <v>-3.4951369311741223</v>
      </c>
      <c r="G96" s="43">
        <f t="shared" si="63"/>
        <v>-1.081110563039928</v>
      </c>
      <c r="H96" s="43">
        <f t="shared" si="63"/>
        <v>1.2974636202081455</v>
      </c>
      <c r="I96" s="43">
        <f t="shared" si="63"/>
        <v>3.454557748914774</v>
      </c>
      <c r="J96" s="43">
        <f t="shared" si="63"/>
        <v>5.227899325701993</v>
      </c>
      <c r="K96" s="43">
        <f t="shared" si="63"/>
        <v>6.556638042591206</v>
      </c>
      <c r="L96" s="43">
        <f t="shared" si="63"/>
        <v>7.519092017970105</v>
      </c>
      <c r="M96" s="43">
        <f t="shared" si="63"/>
        <v>8.312663886994308</v>
      </c>
      <c r="N96" s="43">
        <f t="shared" si="63"/>
        <v>9.199679222795528</v>
      </c>
      <c r="O96" s="43">
        <f t="shared" si="63"/>
        <v>10.455135364999524</v>
      </c>
      <c r="P96" s="43">
        <f t="shared" si="63"/>
        <v>12.317897539032785</v>
      </c>
      <c r="Q96" s="43">
        <f t="shared" si="63"/>
        <v>14.885563501954845</v>
      </c>
      <c r="R96" s="43">
        <f t="shared" si="63"/>
        <v>17.816955744074747</v>
      </c>
      <c r="S96" s="43">
        <f t="shared" si="63"/>
        <v>19.682848471830372</v>
      </c>
      <c r="T96" s="43">
        <f t="shared" si="63"/>
        <v>17.25908558365393</v>
      </c>
      <c r="U96" s="43">
        <f t="shared" si="63"/>
        <v>6.708881103405483</v>
      </c>
      <c r="V96" s="43">
        <f t="shared" si="63"/>
        <v>-11.10986167188773</v>
      </c>
      <c r="W96" s="43">
        <f t="shared" si="63"/>
        <v>-27.615213995998527</v>
      </c>
      <c r="X96" s="43">
        <f t="shared" si="63"/>
        <v>-35.29908190492313</v>
      </c>
      <c r="Y96" s="43">
        <f t="shared" si="63"/>
        <v>-35.220806246374075</v>
      </c>
      <c r="Z96" s="43">
        <f>-Z61*Z95-Z65*(Z93-$F$7)</f>
        <v>-31.913669231718707</v>
      </c>
    </row>
    <row r="97" spans="1:26" s="64" customFormat="1" ht="13.5" customHeight="1" thickBot="1">
      <c r="A97" s="18" t="s">
        <v>109</v>
      </c>
      <c r="B97" s="64">
        <f aca="true" t="shared" si="64" ref="B97:Y97">B61*B94+B65*(B92-$F$6)</f>
        <v>9.861445624606398</v>
      </c>
      <c r="C97" s="64">
        <f t="shared" si="64"/>
        <v>6.6096132872294735</v>
      </c>
      <c r="D97" s="64">
        <f t="shared" si="64"/>
        <v>3.181084945370676</v>
      </c>
      <c r="E97" s="64">
        <f t="shared" si="64"/>
        <v>0.25014562850066513</v>
      </c>
      <c r="F97" s="64">
        <f t="shared" si="64"/>
        <v>-1.9106861875461914</v>
      </c>
      <c r="G97" s="64">
        <f t="shared" si="64"/>
        <v>-3.2257720298860506</v>
      </c>
      <c r="H97" s="64">
        <f t="shared" si="64"/>
        <v>-3.7356841366954927</v>
      </c>
      <c r="I97" s="64">
        <f t="shared" si="64"/>
        <v>-3.5766392737289823</v>
      </c>
      <c r="J97" s="64">
        <f t="shared" si="64"/>
        <v>-2.961811380610932</v>
      </c>
      <c r="K97" s="64">
        <f t="shared" si="64"/>
        <v>-2.136245697404256</v>
      </c>
      <c r="L97" s="64">
        <f t="shared" si="64"/>
        <v>-1.3170301069437367</v>
      </c>
      <c r="M97" s="64">
        <f t="shared" si="64"/>
        <v>-0.655309056148841</v>
      </c>
      <c r="N97" s="64">
        <f t="shared" si="64"/>
        <v>-0.24424265998741618</v>
      </c>
      <c r="O97" s="64">
        <f t="shared" si="64"/>
        <v>-0.16734818765315862</v>
      </c>
      <c r="P97" s="64">
        <f t="shared" si="64"/>
        <v>-0.5695540331384082</v>
      </c>
      <c r="Q97" s="64">
        <f t="shared" si="64"/>
        <v>-1.7341496887023036</v>
      </c>
      <c r="R97" s="64">
        <f t="shared" si="64"/>
        <v>-4.109702079621362</v>
      </c>
      <c r="S97" s="64">
        <f t="shared" si="64"/>
        <v>-8.058271258275896</v>
      </c>
      <c r="T97" s="64">
        <f t="shared" si="64"/>
        <v>-12.80872758784601</v>
      </c>
      <c r="U97" s="64">
        <f t="shared" si="64"/>
        <v>-14.700676756025278</v>
      </c>
      <c r="V97" s="64">
        <f t="shared" si="64"/>
        <v>-8.256014806064364</v>
      </c>
      <c r="W97" s="64">
        <f t="shared" si="64"/>
        <v>6.409352361553297</v>
      </c>
      <c r="X97" s="64">
        <f t="shared" si="64"/>
        <v>20.617285939544004</v>
      </c>
      <c r="Y97" s="64">
        <f t="shared" si="64"/>
        <v>26.85646253965114</v>
      </c>
      <c r="Z97" s="64">
        <f>Z61*Z94+Z65*(Z92-$F$6)</f>
        <v>24.87822698564862</v>
      </c>
    </row>
    <row r="98" spans="9:182" ht="13.5" customHeight="1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</row>
    <row r="99" spans="1:182" ht="13.5" customHeight="1" thickBot="1">
      <c r="A99" s="21" t="s">
        <v>139</v>
      </c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</row>
    <row r="100" spans="1:26" s="39" customFormat="1" ht="12.75">
      <c r="A100" s="120" t="s">
        <v>189</v>
      </c>
      <c r="B100" s="75">
        <f aca="true" t="shared" si="65" ref="B100:Y100">((B35-$D$16)*(B68-B34)-B69*B34+B35*B34)/((B68-B34)*$F$16-B69+B35)</f>
        <v>11.880081441580739</v>
      </c>
      <c r="C100" s="39">
        <f t="shared" si="65"/>
        <v>12.246365582631066</v>
      </c>
      <c r="D100" s="39">
        <f t="shared" si="65"/>
        <v>12.557344361809498</v>
      </c>
      <c r="E100" s="39">
        <f t="shared" si="65"/>
        <v>12.785584942281574</v>
      </c>
      <c r="F100" s="39">
        <f t="shared" si="65"/>
        <v>12.922572256977059</v>
      </c>
      <c r="G100" s="39">
        <f t="shared" si="65"/>
        <v>12.975881474599712</v>
      </c>
      <c r="H100" s="39">
        <f t="shared" si="65"/>
        <v>12.964880149210382</v>
      </c>
      <c r="I100" s="39">
        <f t="shared" si="65"/>
        <v>12.915157464714655</v>
      </c>
      <c r="J100" s="39">
        <f t="shared" si="65"/>
        <v>12.852421360935745</v>
      </c>
      <c r="K100" s="39">
        <f t="shared" si="65"/>
        <v>12.797128067615652</v>
      </c>
      <c r="L100" s="39">
        <f t="shared" si="65"/>
        <v>12.761036186334536</v>
      </c>
      <c r="M100" s="39">
        <f t="shared" si="65"/>
        <v>12.745992589569743</v>
      </c>
      <c r="N100" s="39">
        <f t="shared" si="65"/>
        <v>12.744131153561035</v>
      </c>
      <c r="O100" s="39">
        <f t="shared" si="65"/>
        <v>12.738211806703154</v>
      </c>
      <c r="P100" s="39">
        <f t="shared" si="65"/>
        <v>12.70153731709711</v>
      </c>
      <c r="Q100" s="39">
        <f t="shared" si="65"/>
        <v>12.598932591522793</v>
      </c>
      <c r="R100" s="39">
        <f t="shared" si="65"/>
        <v>12.393820655388323</v>
      </c>
      <c r="S100" s="39">
        <f t="shared" si="65"/>
        <v>12.069181357878124</v>
      </c>
      <c r="T100" s="39">
        <f t="shared" si="65"/>
        <v>11.661256333143124</v>
      </c>
      <c r="U100" s="39">
        <f t="shared" si="65"/>
        <v>11.274352221271371</v>
      </c>
      <c r="V100" s="39">
        <f t="shared" si="65"/>
        <v>11.034560057909934</v>
      </c>
      <c r="W100" s="39">
        <f t="shared" si="65"/>
        <v>11.011522384303476</v>
      </c>
      <c r="X100" s="39">
        <f t="shared" si="65"/>
        <v>11.190764641380635</v>
      </c>
      <c r="Y100" s="39">
        <f t="shared" si="65"/>
        <v>11.506084857305746</v>
      </c>
      <c r="Z100" s="39">
        <f>((Z35-$D$16)*(Z68-Z34)-Z69*Z34+Z35*Z34)/((Z68-Z34)*$F$16-Z69+Z35)</f>
        <v>11.880081441580739</v>
      </c>
    </row>
    <row r="101" spans="1:26" s="43" customFormat="1" ht="12.75">
      <c r="A101" s="122" t="s">
        <v>190</v>
      </c>
      <c r="B101" s="76">
        <f aca="true" t="shared" si="66" ref="B101:Y101">$F$16*B100+$D$16</f>
        <v>-0.6629324619645658</v>
      </c>
      <c r="C101" s="43">
        <f t="shared" si="66"/>
        <v>0.7040585624419791</v>
      </c>
      <c r="D101" s="43">
        <f t="shared" si="66"/>
        <v>1.864647166411629</v>
      </c>
      <c r="E101" s="43">
        <f t="shared" si="66"/>
        <v>2.716452609082431</v>
      </c>
      <c r="F101" s="43">
        <f t="shared" si="66"/>
        <v>3.2276962275184076</v>
      </c>
      <c r="G101" s="43">
        <f t="shared" si="66"/>
        <v>3.4266489361978927</v>
      </c>
      <c r="H101" s="43">
        <f t="shared" si="66"/>
        <v>3.3855914308943156</v>
      </c>
      <c r="I101" s="43">
        <f t="shared" si="66"/>
        <v>3.2000238460675448</v>
      </c>
      <c r="J101" s="43">
        <f t="shared" si="66"/>
        <v>2.965889519295743</v>
      </c>
      <c r="K101" s="43">
        <f t="shared" si="66"/>
        <v>2.759532139307346</v>
      </c>
      <c r="L101" s="43">
        <f t="shared" si="66"/>
        <v>2.624835404625479</v>
      </c>
      <c r="M101" s="43">
        <f t="shared" si="66"/>
        <v>2.5686919371706907</v>
      </c>
      <c r="N101" s="43">
        <f t="shared" si="66"/>
        <v>2.561744963411151</v>
      </c>
      <c r="O101" s="43">
        <f t="shared" si="66"/>
        <v>2.53965366018992</v>
      </c>
      <c r="P101" s="43">
        <f t="shared" si="66"/>
        <v>2.4027826016385063</v>
      </c>
      <c r="Q101" s="43">
        <f t="shared" si="66"/>
        <v>2.019856552698492</v>
      </c>
      <c r="R101" s="43">
        <f t="shared" si="66"/>
        <v>1.2543683858058259</v>
      </c>
      <c r="S101" s="43">
        <f t="shared" si="66"/>
        <v>0.042798033364299215</v>
      </c>
      <c r="T101" s="43">
        <f t="shared" si="66"/>
        <v>-1.479598884625517</v>
      </c>
      <c r="U101" s="43">
        <f t="shared" si="66"/>
        <v>-2.9235446877882083</v>
      </c>
      <c r="V101" s="43">
        <f t="shared" si="66"/>
        <v>-3.8184612247099494</v>
      </c>
      <c r="W101" s="43">
        <f t="shared" si="66"/>
        <v>-3.9044389930974432</v>
      </c>
      <c r="X101" s="43">
        <f t="shared" si="66"/>
        <v>-3.235497782822158</v>
      </c>
      <c r="Y101" s="43">
        <f t="shared" si="66"/>
        <v>-2.0587067163360544</v>
      </c>
      <c r="Z101" s="43">
        <f>$F$16*Z100+$D$16</f>
        <v>-0.6629324619645658</v>
      </c>
    </row>
    <row r="102" spans="1:26" s="43" customFormat="1" ht="12.75">
      <c r="A102" s="14" t="s">
        <v>110</v>
      </c>
      <c r="B102" s="76">
        <f aca="true" t="shared" si="67" ref="B102:Y102">B100-B34</f>
        <v>4.740081441580739</v>
      </c>
      <c r="C102" s="43">
        <f t="shared" si="67"/>
        <v>5.349655182927118</v>
      </c>
      <c r="D102" s="43">
        <f t="shared" si="67"/>
        <v>6.373922978788606</v>
      </c>
      <c r="E102" s="43">
        <f t="shared" si="67"/>
        <v>7.736842524609624</v>
      </c>
      <c r="F102" s="43">
        <f t="shared" si="67"/>
        <v>9.352572256977059</v>
      </c>
      <c r="G102" s="43">
        <f t="shared" si="67"/>
        <v>11.127913492567714</v>
      </c>
      <c r="H102" s="43">
        <f t="shared" si="67"/>
        <v>12.964880149210382</v>
      </c>
      <c r="I102" s="43">
        <f t="shared" si="67"/>
        <v>14.763125446746654</v>
      </c>
      <c r="J102" s="43">
        <f t="shared" si="67"/>
        <v>16.422421360935743</v>
      </c>
      <c r="K102" s="43">
        <f t="shared" si="67"/>
        <v>17.845870485287602</v>
      </c>
      <c r="L102" s="43">
        <f t="shared" si="67"/>
        <v>18.94445756935543</v>
      </c>
      <c r="M102" s="43">
        <f t="shared" si="67"/>
        <v>19.64270298927369</v>
      </c>
      <c r="N102" s="43">
        <f t="shared" si="67"/>
        <v>19.884131153561036</v>
      </c>
      <c r="O102" s="43">
        <f t="shared" si="67"/>
        <v>19.6349222064071</v>
      </c>
      <c r="P102" s="43">
        <f t="shared" si="67"/>
        <v>18.884958700118002</v>
      </c>
      <c r="Q102" s="43">
        <f t="shared" si="67"/>
        <v>17.647675009194742</v>
      </c>
      <c r="R102" s="43">
        <f t="shared" si="67"/>
        <v>15.963820655388325</v>
      </c>
      <c r="S102" s="43">
        <f t="shared" si="67"/>
        <v>13.917149339910122</v>
      </c>
      <c r="T102" s="43">
        <f t="shared" si="67"/>
        <v>11.661256333143125</v>
      </c>
      <c r="U102" s="43">
        <f t="shared" si="67"/>
        <v>9.426384239239377</v>
      </c>
      <c r="V102" s="43">
        <f t="shared" si="67"/>
        <v>7.464560057909933</v>
      </c>
      <c r="W102" s="43">
        <f t="shared" si="67"/>
        <v>5.962779966631528</v>
      </c>
      <c r="X102" s="43">
        <f t="shared" si="67"/>
        <v>5.007343258359746</v>
      </c>
      <c r="Y102" s="43">
        <f t="shared" si="67"/>
        <v>4.609374457601798</v>
      </c>
      <c r="Z102" s="43">
        <f>Z100-Z34</f>
        <v>4.740081441580739</v>
      </c>
    </row>
    <row r="103" spans="1:26" s="43" customFormat="1" ht="12.75">
      <c r="A103" s="14" t="s">
        <v>111</v>
      </c>
      <c r="B103" s="76">
        <f aca="true" t="shared" si="68" ref="B103:Y103">B68-B100</f>
        <v>15.562323457446158</v>
      </c>
      <c r="C103" s="43">
        <f t="shared" si="68"/>
        <v>14.697169721561446</v>
      </c>
      <c r="D103" s="43">
        <f t="shared" si="68"/>
        <v>13.429523877558335</v>
      </c>
      <c r="E103" s="43">
        <f t="shared" si="68"/>
        <v>11.890732873980596</v>
      </c>
      <c r="F103" s="43">
        <f t="shared" si="68"/>
        <v>10.194502767842522</v>
      </c>
      <c r="G103" s="43">
        <f t="shared" si="68"/>
        <v>8.44263335310759</v>
      </c>
      <c r="H103" s="43">
        <f t="shared" si="68"/>
        <v>6.726112373982735</v>
      </c>
      <c r="I103" s="43">
        <f t="shared" si="68"/>
        <v>5.1229227875534225</v>
      </c>
      <c r="J103" s="43">
        <f t="shared" si="68"/>
        <v>3.69510028213101</v>
      </c>
      <c r="K103" s="43">
        <f t="shared" si="68"/>
        <v>2.487519900908282</v>
      </c>
      <c r="L103" s="43">
        <f t="shared" si="68"/>
        <v>1.5300762061879247</v>
      </c>
      <c r="M103" s="43">
        <f t="shared" si="68"/>
        <v>0.8435115578215786</v>
      </c>
      <c r="N103" s="43">
        <f t="shared" si="68"/>
        <v>0.4478272653079429</v>
      </c>
      <c r="O103" s="43">
        <f t="shared" si="68"/>
        <v>0.37165411905337997</v>
      </c>
      <c r="P103" s="43">
        <f t="shared" si="68"/>
        <v>0.6607761270482193</v>
      </c>
      <c r="Q103" s="43">
        <f t="shared" si="68"/>
        <v>1.382551822432868</v>
      </c>
      <c r="R103" s="43">
        <f t="shared" si="68"/>
        <v>2.6182799079812824</v>
      </c>
      <c r="S103" s="43">
        <f t="shared" si="68"/>
        <v>4.428650413592562</v>
      </c>
      <c r="T103" s="43">
        <f t="shared" si="68"/>
        <v>6.780921232711256</v>
      </c>
      <c r="U103" s="43">
        <f t="shared" si="68"/>
        <v>9.464156731891205</v>
      </c>
      <c r="V103" s="43">
        <f t="shared" si="68"/>
        <v>12.078064123734178</v>
      </c>
      <c r="W103" s="43">
        <f t="shared" si="68"/>
        <v>14.169844080572954</v>
      </c>
      <c r="X103" s="43">
        <f t="shared" si="68"/>
        <v>15.447068109909516</v>
      </c>
      <c r="Y103" s="43">
        <f t="shared" si="68"/>
        <v>15.869233688613717</v>
      </c>
      <c r="Z103" s="43">
        <f>Z68-Z100</f>
        <v>15.562323457446158</v>
      </c>
    </row>
    <row r="104" spans="1:26" s="43" customFormat="1" ht="12.75">
      <c r="A104" s="14" t="s">
        <v>112</v>
      </c>
      <c r="B104" s="76">
        <f aca="true" t="shared" si="69" ref="B104:Y104">B101-B35</f>
        <v>-0.6629324619645658</v>
      </c>
      <c r="C104" s="43">
        <f t="shared" si="69"/>
        <v>-1.143909419590019</v>
      </c>
      <c r="D104" s="43">
        <f t="shared" si="69"/>
        <v>-1.7053528335883703</v>
      </c>
      <c r="E104" s="43">
        <f t="shared" si="69"/>
        <v>-2.3322898085895174</v>
      </c>
      <c r="F104" s="43">
        <f t="shared" si="69"/>
        <v>-2.955725155502484</v>
      </c>
      <c r="G104" s="43">
        <f t="shared" si="69"/>
        <v>-3.470061463506055</v>
      </c>
      <c r="H104" s="43">
        <f t="shared" si="69"/>
        <v>-3.754408569105684</v>
      </c>
      <c r="I104" s="43">
        <f t="shared" si="69"/>
        <v>-3.696686553636403</v>
      </c>
      <c r="J104" s="43">
        <f t="shared" si="69"/>
        <v>-3.2175318637251493</v>
      </c>
      <c r="K104" s="43">
        <f t="shared" si="69"/>
        <v>-2.289210278364603</v>
      </c>
      <c r="L104" s="43">
        <f t="shared" si="69"/>
        <v>-0.9451645953745205</v>
      </c>
      <c r="M104" s="43">
        <f t="shared" si="69"/>
        <v>0.7207239551386906</v>
      </c>
      <c r="N104" s="43">
        <f t="shared" si="69"/>
        <v>2.56174496341115</v>
      </c>
      <c r="O104" s="43">
        <f t="shared" si="69"/>
        <v>4.3876216422219185</v>
      </c>
      <c r="P104" s="43">
        <f t="shared" si="69"/>
        <v>5.972782601638507</v>
      </c>
      <c r="Q104" s="43">
        <f t="shared" si="69"/>
        <v>7.068598970370441</v>
      </c>
      <c r="R104" s="43">
        <f t="shared" si="69"/>
        <v>7.437789768826716</v>
      </c>
      <c r="S104" s="43">
        <f t="shared" si="69"/>
        <v>6.939508433068247</v>
      </c>
      <c r="T104" s="43">
        <f t="shared" si="69"/>
        <v>5.660401115374483</v>
      </c>
      <c r="U104" s="43">
        <f t="shared" si="69"/>
        <v>3.9731657119157395</v>
      </c>
      <c r="V104" s="43">
        <f t="shared" si="69"/>
        <v>2.364960158310942</v>
      </c>
      <c r="W104" s="43">
        <f t="shared" si="69"/>
        <v>1.144303424574507</v>
      </c>
      <c r="X104" s="43">
        <f t="shared" si="69"/>
        <v>0.3345022171778451</v>
      </c>
      <c r="Y104" s="43">
        <f t="shared" si="69"/>
        <v>-0.21073873430405676</v>
      </c>
      <c r="Z104" s="43">
        <f>Z101-Z35</f>
        <v>-0.662932461964564</v>
      </c>
    </row>
    <row r="105" spans="1:26" s="64" customFormat="1" ht="13.5" thickBot="1">
      <c r="A105" s="15" t="s">
        <v>113</v>
      </c>
      <c r="B105" s="77">
        <f aca="true" t="shared" si="70" ref="B105:Y105">B69-B101</f>
        <v>-2.176496233383976</v>
      </c>
      <c r="C105" s="64">
        <f t="shared" si="70"/>
        <v>-3.142675613834281</v>
      </c>
      <c r="D105" s="64">
        <f t="shared" si="70"/>
        <v>-3.593089636406239</v>
      </c>
      <c r="E105" s="64">
        <f t="shared" si="70"/>
        <v>-3.584490056561466</v>
      </c>
      <c r="F105" s="64">
        <f t="shared" si="70"/>
        <v>-3.221803312588499</v>
      </c>
      <c r="G105" s="64">
        <f t="shared" si="70"/>
        <v>-2.63269989191564</v>
      </c>
      <c r="H105" s="64">
        <f t="shared" si="70"/>
        <v>-1.9477676340252619</v>
      </c>
      <c r="I105" s="64">
        <f t="shared" si="70"/>
        <v>-1.2827798457974615</v>
      </c>
      <c r="J105" s="64">
        <f t="shared" si="70"/>
        <v>-0.7239555383530076</v>
      </c>
      <c r="K105" s="64">
        <f t="shared" si="70"/>
        <v>-0.31909097006449016</v>
      </c>
      <c r="L105" s="64">
        <f t="shared" si="70"/>
        <v>-0.07633757013202613</v>
      </c>
      <c r="M105" s="64">
        <f t="shared" si="70"/>
        <v>0.030949864002449257</v>
      </c>
      <c r="N105" s="64">
        <f t="shared" si="70"/>
        <v>0.05769521597505145</v>
      </c>
      <c r="O105" s="64">
        <f t="shared" si="70"/>
        <v>0.08304986589899821</v>
      </c>
      <c r="P105" s="64">
        <f t="shared" si="70"/>
        <v>0.20898495029204955</v>
      </c>
      <c r="Q105" s="64">
        <f t="shared" si="70"/>
        <v>0.5537672460219905</v>
      </c>
      <c r="R105" s="64">
        <f t="shared" si="70"/>
        <v>1.2198969113909808</v>
      </c>
      <c r="S105" s="64">
        <f t="shared" si="70"/>
        <v>2.208258037736572</v>
      </c>
      <c r="T105" s="64">
        <f t="shared" si="70"/>
        <v>3.2914750359972316</v>
      </c>
      <c r="U105" s="64">
        <f t="shared" si="70"/>
        <v>3.9890865961963886</v>
      </c>
      <c r="V105" s="64">
        <f t="shared" si="70"/>
        <v>3.8266341513171476</v>
      </c>
      <c r="W105" s="64">
        <f t="shared" si="70"/>
        <v>2.7193022713944504</v>
      </c>
      <c r="X105" s="64">
        <f t="shared" si="70"/>
        <v>1.031900204371961</v>
      </c>
      <c r="Y105" s="64">
        <f t="shared" si="70"/>
        <v>-0.7255349402994229</v>
      </c>
      <c r="Z105" s="64">
        <f>Z69-Z101</f>
        <v>-2.1764962333839777</v>
      </c>
    </row>
    <row r="106" spans="1:26" s="39" customFormat="1" ht="12.75">
      <c r="A106" s="123" t="s">
        <v>266</v>
      </c>
      <c r="B106" s="39">
        <f>C100-B100</f>
        <v>0.36628414105032725</v>
      </c>
      <c r="C106" s="39">
        <f aca="true" t="shared" si="71" ref="C106:Z106">D100-C100</f>
        <v>0.3109787791784324</v>
      </c>
      <c r="D106" s="39">
        <f t="shared" si="71"/>
        <v>0.2282405804720753</v>
      </c>
      <c r="E106" s="39">
        <f t="shared" si="71"/>
        <v>0.1369873146954852</v>
      </c>
      <c r="F106" s="39">
        <f t="shared" si="71"/>
        <v>0.05330921762265284</v>
      </c>
      <c r="G106" s="39">
        <f t="shared" si="71"/>
        <v>-0.011001325389329963</v>
      </c>
      <c r="H106" s="39">
        <f t="shared" si="71"/>
        <v>-0.04972268449572681</v>
      </c>
      <c r="I106" s="39">
        <f t="shared" si="71"/>
        <v>-0.06273610377891004</v>
      </c>
      <c r="J106" s="39">
        <f t="shared" si="71"/>
        <v>-0.055293293320092474</v>
      </c>
      <c r="K106" s="39">
        <f t="shared" si="71"/>
        <v>-0.0360918812811164</v>
      </c>
      <c r="L106" s="39">
        <f t="shared" si="71"/>
        <v>-0.01504359676479261</v>
      </c>
      <c r="M106" s="39">
        <f t="shared" si="71"/>
        <v>-0.0018614360087081394</v>
      </c>
      <c r="N106" s="39">
        <f t="shared" si="71"/>
        <v>-0.005919346857881536</v>
      </c>
      <c r="O106" s="39">
        <f t="shared" si="71"/>
        <v>-0.03667448960604425</v>
      </c>
      <c r="P106" s="39">
        <f t="shared" si="71"/>
        <v>-0.10260472557431655</v>
      </c>
      <c r="Q106" s="39">
        <f t="shared" si="71"/>
        <v>-0.20511193613446999</v>
      </c>
      <c r="R106" s="39">
        <f t="shared" si="71"/>
        <v>-0.32463929751019904</v>
      </c>
      <c r="S106" s="39">
        <f t="shared" si="71"/>
        <v>-0.40792502473500036</v>
      </c>
      <c r="T106" s="39">
        <f t="shared" si="71"/>
        <v>-0.3869041118717522</v>
      </c>
      <c r="U106" s="39">
        <f t="shared" si="71"/>
        <v>-0.23979216336143772</v>
      </c>
      <c r="V106" s="39">
        <f t="shared" si="71"/>
        <v>-0.023037673606458142</v>
      </c>
      <c r="W106" s="39">
        <f t="shared" si="71"/>
        <v>0.1792422570771599</v>
      </c>
      <c r="X106" s="39">
        <f t="shared" si="71"/>
        <v>0.3153202159251105</v>
      </c>
      <c r="Y106" s="39">
        <f t="shared" si="71"/>
        <v>0.3739965842749928</v>
      </c>
      <c r="Z106" s="39">
        <f t="shared" si="71"/>
        <v>-11.880081441580739</v>
      </c>
    </row>
    <row r="107" spans="1:26" s="64" customFormat="1" ht="13.5" thickBot="1">
      <c r="A107" s="124" t="s">
        <v>267</v>
      </c>
      <c r="B107" s="64">
        <f aca="true" t="shared" si="72" ref="B107:Z107">C101-B101</f>
        <v>1.3669910244065449</v>
      </c>
      <c r="C107" s="64">
        <f t="shared" si="72"/>
        <v>1.16058860396965</v>
      </c>
      <c r="D107" s="64">
        <f t="shared" si="72"/>
        <v>0.8518054426708019</v>
      </c>
      <c r="E107" s="64">
        <f t="shared" si="72"/>
        <v>0.5112436184359765</v>
      </c>
      <c r="F107" s="64">
        <f t="shared" si="72"/>
        <v>0.1989527086794851</v>
      </c>
      <c r="G107" s="64">
        <f t="shared" si="72"/>
        <v>-0.0410575053035771</v>
      </c>
      <c r="H107" s="64">
        <f t="shared" si="72"/>
        <v>-0.18556758482677083</v>
      </c>
      <c r="I107" s="64">
        <f t="shared" si="72"/>
        <v>-0.23413432677180168</v>
      </c>
      <c r="J107" s="64">
        <f t="shared" si="72"/>
        <v>-0.20635737998839687</v>
      </c>
      <c r="K107" s="64">
        <f t="shared" si="72"/>
        <v>-0.13469673468186727</v>
      </c>
      <c r="L107" s="64">
        <f t="shared" si="72"/>
        <v>-0.056143467454788265</v>
      </c>
      <c r="M107" s="64">
        <f t="shared" si="72"/>
        <v>-0.006946973759539787</v>
      </c>
      <c r="N107" s="64">
        <f t="shared" si="72"/>
        <v>-0.022091303221230874</v>
      </c>
      <c r="O107" s="64">
        <f t="shared" si="72"/>
        <v>-0.13687105855141368</v>
      </c>
      <c r="P107" s="64">
        <f t="shared" si="72"/>
        <v>-0.38292604894001414</v>
      </c>
      <c r="Q107" s="64">
        <f t="shared" si="72"/>
        <v>-0.7654881668926663</v>
      </c>
      <c r="R107" s="64">
        <f t="shared" si="72"/>
        <v>-1.2115703524415267</v>
      </c>
      <c r="S107" s="64">
        <f t="shared" si="72"/>
        <v>-1.5223969179898162</v>
      </c>
      <c r="T107" s="64">
        <f t="shared" si="72"/>
        <v>-1.4439458031626913</v>
      </c>
      <c r="U107" s="64">
        <f t="shared" si="72"/>
        <v>-0.8949165369217411</v>
      </c>
      <c r="V107" s="64">
        <f t="shared" si="72"/>
        <v>-0.08597776838749382</v>
      </c>
      <c r="W107" s="64">
        <f t="shared" si="72"/>
        <v>0.6689412102752854</v>
      </c>
      <c r="X107" s="64">
        <f t="shared" si="72"/>
        <v>1.1767910664861034</v>
      </c>
      <c r="Y107" s="64">
        <f t="shared" si="72"/>
        <v>1.3957742543714886</v>
      </c>
      <c r="Z107" s="64">
        <f t="shared" si="72"/>
        <v>0.6629324619645658</v>
      </c>
    </row>
    <row r="108" spans="1:26" s="43" customFormat="1" ht="12.75">
      <c r="A108" s="2" t="s">
        <v>191</v>
      </c>
      <c r="B108" s="43">
        <f aca="true" t="shared" si="73" ref="B108:Z108">SQRT(B106^2+B107^2)</f>
        <v>1.4152132464024745</v>
      </c>
      <c r="C108" s="43">
        <f t="shared" si="73"/>
        <v>1.20152973694517</v>
      </c>
      <c r="D108" s="43">
        <f t="shared" si="73"/>
        <v>0.8818538851407476</v>
      </c>
      <c r="E108" s="43">
        <f t="shared" si="73"/>
        <v>0.5292783405534278</v>
      </c>
      <c r="F108" s="43">
        <f t="shared" si="73"/>
        <v>0.20597100032393742</v>
      </c>
      <c r="G108" s="43">
        <f t="shared" si="73"/>
        <v>0.04250585726785401</v>
      </c>
      <c r="H108" s="43">
        <f t="shared" si="73"/>
        <v>0.19211370042738332</v>
      </c>
      <c r="I108" s="43">
        <f t="shared" si="73"/>
        <v>0.2423936915231974</v>
      </c>
      <c r="J108" s="43">
        <f t="shared" si="73"/>
        <v>0.2136368801538194</v>
      </c>
      <c r="K108" s="43">
        <f t="shared" si="73"/>
        <v>0.13944832099515414</v>
      </c>
      <c r="L108" s="43">
        <f t="shared" si="73"/>
        <v>0.058123994541570766</v>
      </c>
      <c r="M108" s="43">
        <f t="shared" si="73"/>
        <v>0.007192036459185232</v>
      </c>
      <c r="N108" s="43">
        <f t="shared" si="73"/>
        <v>0.02287060001915729</v>
      </c>
      <c r="O108" s="43">
        <f t="shared" si="73"/>
        <v>0.1416993467057924</v>
      </c>
      <c r="P108" s="43">
        <f t="shared" si="73"/>
        <v>0.39643421732614215</v>
      </c>
      <c r="Q108" s="43">
        <f t="shared" si="73"/>
        <v>0.7924916655697556</v>
      </c>
      <c r="R108" s="43">
        <f t="shared" si="73"/>
        <v>1.254309926773762</v>
      </c>
      <c r="S108" s="43">
        <f t="shared" si="73"/>
        <v>1.5761012663245793</v>
      </c>
      <c r="T108" s="43">
        <f t="shared" si="73"/>
        <v>1.4948826958174406</v>
      </c>
      <c r="U108" s="43">
        <f t="shared" si="73"/>
        <v>0.9264857741301592</v>
      </c>
      <c r="V108" s="43">
        <f t="shared" si="73"/>
        <v>0.08901073565638715</v>
      </c>
      <c r="W108" s="43">
        <f t="shared" si="73"/>
        <v>0.6925389010926956</v>
      </c>
      <c r="X108" s="43">
        <f t="shared" si="73"/>
        <v>1.2183037604524412</v>
      </c>
      <c r="Y108" s="43">
        <f t="shared" si="73"/>
        <v>1.4450118387804465</v>
      </c>
      <c r="Z108" s="43">
        <f t="shared" si="73"/>
        <v>11.898563548080814</v>
      </c>
    </row>
    <row r="109" s="43" customFormat="1" ht="12.75">
      <c r="A109" s="2" t="s">
        <v>201</v>
      </c>
    </row>
    <row r="110" spans="1:26" s="43" customFormat="1" ht="12.75">
      <c r="A110" s="2" t="s">
        <v>259</v>
      </c>
      <c r="B110" s="43">
        <f aca="true" t="shared" si="74" ref="B110:Z110">(B35-B34*TAN(B56)-$D$16)/(TAN($B$16)-TAN(B56))</f>
        <v>11.880081441580737</v>
      </c>
      <c r="C110" s="43">
        <f t="shared" si="74"/>
        <v>12.246365582631068</v>
      </c>
      <c r="D110" s="43">
        <f t="shared" si="74"/>
        <v>12.557344361809495</v>
      </c>
      <c r="E110" s="43">
        <f t="shared" si="74"/>
        <v>12.785584942281577</v>
      </c>
      <c r="F110" s="43">
        <f t="shared" si="74"/>
        <v>12.922572256977057</v>
      </c>
      <c r="G110" s="43">
        <f t="shared" si="74"/>
        <v>12.975881474599712</v>
      </c>
      <c r="H110" s="43">
        <f t="shared" si="74"/>
        <v>12.964880149210382</v>
      </c>
      <c r="I110" s="43">
        <f t="shared" si="74"/>
        <v>12.915157464714653</v>
      </c>
      <c r="J110" s="43">
        <f t="shared" si="74"/>
        <v>12.852421360935747</v>
      </c>
      <c r="K110" s="43">
        <f t="shared" si="74"/>
        <v>12.797128067615652</v>
      </c>
      <c r="L110" s="43">
        <f t="shared" si="74"/>
        <v>12.761036186334536</v>
      </c>
      <c r="M110" s="43">
        <f t="shared" si="74"/>
        <v>12.745992589569745</v>
      </c>
      <c r="N110" s="43">
        <f t="shared" si="74"/>
        <v>12.744131153561037</v>
      </c>
      <c r="O110" s="43">
        <f t="shared" si="74"/>
        <v>12.738211806703152</v>
      </c>
      <c r="P110" s="43">
        <f t="shared" si="74"/>
        <v>12.701537317097108</v>
      </c>
      <c r="Q110" s="43">
        <f t="shared" si="74"/>
        <v>12.598932591522795</v>
      </c>
      <c r="R110" s="43">
        <f t="shared" si="74"/>
        <v>12.393820655388323</v>
      </c>
      <c r="S110" s="43">
        <f t="shared" si="74"/>
        <v>12.069181357878124</v>
      </c>
      <c r="T110" s="43">
        <f t="shared" si="74"/>
        <v>11.661256333143122</v>
      </c>
      <c r="U110" s="43">
        <f t="shared" si="74"/>
        <v>11.274352221271373</v>
      </c>
      <c r="V110" s="43">
        <f t="shared" si="74"/>
        <v>11.034560057909934</v>
      </c>
      <c r="W110" s="43">
        <f t="shared" si="74"/>
        <v>11.011522384303474</v>
      </c>
      <c r="X110" s="43">
        <f t="shared" si="74"/>
        <v>11.190764641380635</v>
      </c>
      <c r="Y110" s="43">
        <f t="shared" si="74"/>
        <v>11.506084857305746</v>
      </c>
      <c r="Z110" s="43">
        <f t="shared" si="74"/>
        <v>11.880081441580737</v>
      </c>
    </row>
    <row r="111" spans="1:26" s="43" customFormat="1" ht="12.75">
      <c r="A111" s="2" t="s">
        <v>260</v>
      </c>
      <c r="B111" s="43">
        <f aca="true" t="shared" si="75" ref="B111:Z111">$D$16+B110*TAN($B$16)</f>
        <v>-0.6629324619645729</v>
      </c>
      <c r="C111" s="43">
        <f t="shared" si="75"/>
        <v>0.7040585624419862</v>
      </c>
      <c r="D111" s="43">
        <f t="shared" si="75"/>
        <v>1.8646471664116149</v>
      </c>
      <c r="E111" s="43">
        <f t="shared" si="75"/>
        <v>2.7164526090824452</v>
      </c>
      <c r="F111" s="43">
        <f t="shared" si="75"/>
        <v>3.2276962275184005</v>
      </c>
      <c r="G111" s="43">
        <f t="shared" si="75"/>
        <v>3.4266489361978927</v>
      </c>
      <c r="H111" s="43">
        <f t="shared" si="75"/>
        <v>3.3855914308943156</v>
      </c>
      <c r="I111" s="43">
        <f t="shared" si="75"/>
        <v>3.2000238460675376</v>
      </c>
      <c r="J111" s="43">
        <f t="shared" si="75"/>
        <v>2.96588951929575</v>
      </c>
      <c r="K111" s="43">
        <f t="shared" si="75"/>
        <v>2.759532139307346</v>
      </c>
      <c r="L111" s="43">
        <f t="shared" si="75"/>
        <v>2.624835404625479</v>
      </c>
      <c r="M111" s="43">
        <f t="shared" si="75"/>
        <v>2.5686919371706978</v>
      </c>
      <c r="N111" s="43">
        <f t="shared" si="75"/>
        <v>2.561744963411158</v>
      </c>
      <c r="O111" s="43">
        <f t="shared" si="75"/>
        <v>2.539653660189913</v>
      </c>
      <c r="P111" s="43">
        <f t="shared" si="75"/>
        <v>2.402782601638499</v>
      </c>
      <c r="Q111" s="43">
        <f t="shared" si="75"/>
        <v>2.0198565526984993</v>
      </c>
      <c r="R111" s="43">
        <f t="shared" si="75"/>
        <v>1.2543683858058259</v>
      </c>
      <c r="S111" s="43">
        <f t="shared" si="75"/>
        <v>0.042798033364299215</v>
      </c>
      <c r="T111" s="43">
        <f t="shared" si="75"/>
        <v>-1.4795988846255241</v>
      </c>
      <c r="U111" s="43">
        <f t="shared" si="75"/>
        <v>-2.923544687788201</v>
      </c>
      <c r="V111" s="43">
        <f t="shared" si="75"/>
        <v>-3.8184612247099494</v>
      </c>
      <c r="W111" s="43">
        <f t="shared" si="75"/>
        <v>-3.9044389930974503</v>
      </c>
      <c r="X111" s="43">
        <f t="shared" si="75"/>
        <v>-3.235497782822158</v>
      </c>
      <c r="Y111" s="43">
        <f t="shared" si="75"/>
        <v>-2.0587067163360544</v>
      </c>
      <c r="Z111" s="43">
        <f t="shared" si="75"/>
        <v>-0.6629324619645729</v>
      </c>
    </row>
    <row r="112" spans="1:26" s="43" customFormat="1" ht="12.75">
      <c r="A112" s="2" t="s">
        <v>262</v>
      </c>
      <c r="B112" s="43">
        <f aca="true" t="shared" si="76" ref="B112:Z112">(B37-B36*TAN(B56)-B34*B60/((COS(B56))^2))/(TAN($B$16)-TAN(B56))</f>
        <v>2.4368089774293957</v>
      </c>
      <c r="C112" s="43">
        <f t="shared" si="76"/>
        <v>2.07359158864904</v>
      </c>
      <c r="D112" s="43">
        <f t="shared" si="76"/>
        <v>1.569524477798344</v>
      </c>
      <c r="E112" s="43">
        <f t="shared" si="76"/>
        <v>0.9976464659517935</v>
      </c>
      <c r="F112" s="43">
        <f t="shared" si="76"/>
        <v>0.4228432289737207</v>
      </c>
      <c r="G112" s="43">
        <f t="shared" si="76"/>
        <v>-0.10074735374396356</v>
      </c>
      <c r="H112" s="43">
        <f t="shared" si="76"/>
        <v>-0.5341581919115205</v>
      </c>
      <c r="I112" s="43">
        <f t="shared" si="76"/>
        <v>-0.8582820299361353</v>
      </c>
      <c r="J112" s="43">
        <f t="shared" si="76"/>
        <v>-1.0761595792563134</v>
      </c>
      <c r="K112" s="43">
        <f t="shared" si="76"/>
        <v>-1.2105269723079517</v>
      </c>
      <c r="L112" s="43">
        <f t="shared" si="76"/>
        <v>-1.2967324210928783</v>
      </c>
      <c r="M112" s="43">
        <f t="shared" si="76"/>
        <v>-1.3739989484124329</v>
      </c>
      <c r="N112" s="43">
        <f t="shared" si="76"/>
        <v>-1.478167475091932</v>
      </c>
      <c r="O112" s="43">
        <f t="shared" si="76"/>
        <v>-1.6356840143372156</v>
      </c>
      <c r="P112" s="43">
        <f t="shared" si="76"/>
        <v>-1.8538177736408845</v>
      </c>
      <c r="Q112" s="43">
        <f t="shared" si="76"/>
        <v>-2.098818946093502</v>
      </c>
      <c r="R112" s="43">
        <f t="shared" si="76"/>
        <v>-2.2588285550776024</v>
      </c>
      <c r="S112" s="43">
        <f t="shared" si="76"/>
        <v>-2.1199795677462023</v>
      </c>
      <c r="T112" s="43">
        <f t="shared" si="76"/>
        <v>-1.4427777206696024</v>
      </c>
      <c r="U112" s="43">
        <f t="shared" si="76"/>
        <v>-0.18595416889644795</v>
      </c>
      <c r="V112" s="43">
        <f t="shared" si="76"/>
        <v>1.3458225508399768</v>
      </c>
      <c r="W112" s="43">
        <f t="shared" si="76"/>
        <v>2.702758898632695</v>
      </c>
      <c r="X112" s="43">
        <f t="shared" si="76"/>
        <v>3.5966759103179666</v>
      </c>
      <c r="Y112" s="43">
        <f t="shared" si="76"/>
        <v>3.960957981947715</v>
      </c>
      <c r="Z112" s="43">
        <f t="shared" si="76"/>
        <v>3.850203634763145</v>
      </c>
    </row>
    <row r="113" spans="1:26" s="43" customFormat="1" ht="12.75">
      <c r="A113" s="2" t="s">
        <v>263</v>
      </c>
      <c r="B113" s="43">
        <f aca="true" t="shared" si="77" ref="B113:Z113">(B35-B34*TAN(B56)-$D$16)*B60/((COS(B56))^2)/((TAN($B$16)-TAN(B56))^2)</f>
        <v>-0.98627420278358</v>
      </c>
      <c r="C113" s="43">
        <f t="shared" si="77"/>
        <v>-0.756276713898598</v>
      </c>
      <c r="D113" s="43">
        <f t="shared" si="77"/>
        <v>-0.5257898817759556</v>
      </c>
      <c r="E113" s="43">
        <f t="shared" si="77"/>
        <v>-0.29479005161779165</v>
      </c>
      <c r="F113" s="43">
        <f t="shared" si="77"/>
        <v>-0.06306236849454513</v>
      </c>
      <c r="G113" s="43">
        <f t="shared" si="77"/>
        <v>0.16818072248158888</v>
      </c>
      <c r="H113" s="43">
        <f t="shared" si="77"/>
        <v>0.39590108086841597</v>
      </c>
      <c r="I113" s="43">
        <f t="shared" si="77"/>
        <v>0.6157346064919502</v>
      </c>
      <c r="J113" s="43">
        <f t="shared" si="77"/>
        <v>0.8232288180790254</v>
      </c>
      <c r="K113" s="43">
        <f t="shared" si="77"/>
        <v>1.0152151360456625</v>
      </c>
      <c r="L113" s="43">
        <f t="shared" si="77"/>
        <v>1.1901692186023203</v>
      </c>
      <c r="M113" s="43">
        <f t="shared" si="77"/>
        <v>1.3463721950153646</v>
      </c>
      <c r="N113" s="43">
        <f t="shared" si="77"/>
        <v>1.4771233314348755</v>
      </c>
      <c r="O113" s="43">
        <f t="shared" si="77"/>
        <v>1.5626187636686626</v>
      </c>
      <c r="P113" s="43">
        <f t="shared" si="77"/>
        <v>1.5589627473417522</v>
      </c>
      <c r="Q113" s="43">
        <f t="shared" si="77"/>
        <v>1.3895852926392618</v>
      </c>
      <c r="R113" s="43">
        <f t="shared" si="77"/>
        <v>0.9582541179842999</v>
      </c>
      <c r="S113" s="43">
        <f t="shared" si="77"/>
        <v>0.21691723752609468</v>
      </c>
      <c r="T113" s="43">
        <f t="shared" si="77"/>
        <v>-0.7218470089886119</v>
      </c>
      <c r="U113" s="43">
        <f t="shared" si="77"/>
        <v>-1.572933943335797</v>
      </c>
      <c r="V113" s="43">
        <f t="shared" si="77"/>
        <v>-2.083471911802962</v>
      </c>
      <c r="W113" s="43">
        <f t="shared" si="77"/>
        <v>-2.2203069135540647</v>
      </c>
      <c r="X113" s="43">
        <f t="shared" si="77"/>
        <v>-2.1046523426742962</v>
      </c>
      <c r="Y113" s="43">
        <f t="shared" si="77"/>
        <v>-1.8606906635290077</v>
      </c>
      <c r="Z113" s="43">
        <f t="shared" si="77"/>
        <v>-1.5583316360055095</v>
      </c>
    </row>
    <row r="114" spans="1:26" s="119" customFormat="1" ht="18">
      <c r="A114" s="150" t="s">
        <v>268</v>
      </c>
      <c r="B114" s="119">
        <f aca="true" t="shared" si="78" ref="B114:Z114">SUM(B112:B113)</f>
        <v>1.4505347746458157</v>
      </c>
      <c r="C114" s="119">
        <f t="shared" si="78"/>
        <v>1.3173148747504422</v>
      </c>
      <c r="D114" s="119">
        <f t="shared" si="78"/>
        <v>1.0437345960223883</v>
      </c>
      <c r="E114" s="119">
        <f t="shared" si="78"/>
        <v>0.7028564143340019</v>
      </c>
      <c r="F114" s="119">
        <f t="shared" si="78"/>
        <v>0.35978086047917557</v>
      </c>
      <c r="G114" s="119">
        <f t="shared" si="78"/>
        <v>0.06743336873762533</v>
      </c>
      <c r="H114" s="119">
        <f t="shared" si="78"/>
        <v>-0.1382571110431045</v>
      </c>
      <c r="I114" s="119">
        <f t="shared" si="78"/>
        <v>-0.24254742344418512</v>
      </c>
      <c r="J114" s="119">
        <f t="shared" si="78"/>
        <v>-0.2529307611772881</v>
      </c>
      <c r="K114" s="119">
        <f t="shared" si="78"/>
        <v>-0.1953118362622892</v>
      </c>
      <c r="L114" s="119">
        <f t="shared" si="78"/>
        <v>-0.10656320249055806</v>
      </c>
      <c r="M114" s="119">
        <f t="shared" si="78"/>
        <v>-0.027626753397068216</v>
      </c>
      <c r="N114" s="119">
        <f t="shared" si="78"/>
        <v>-0.0010441436570565177</v>
      </c>
      <c r="O114" s="119">
        <f t="shared" si="78"/>
        <v>-0.07306525066855296</v>
      </c>
      <c r="P114" s="119">
        <f t="shared" si="78"/>
        <v>-0.2948550262991323</v>
      </c>
      <c r="Q114" s="119">
        <f t="shared" si="78"/>
        <v>-0.70923365345424</v>
      </c>
      <c r="R114" s="119">
        <f t="shared" si="78"/>
        <v>-1.3005744370933026</v>
      </c>
      <c r="S114" s="119">
        <f t="shared" si="78"/>
        <v>-1.9030623302201077</v>
      </c>
      <c r="T114" s="119">
        <f t="shared" si="78"/>
        <v>-2.164624729658214</v>
      </c>
      <c r="U114" s="119">
        <f t="shared" si="78"/>
        <v>-1.7588881122322448</v>
      </c>
      <c r="V114" s="119">
        <f t="shared" si="78"/>
        <v>-0.7376493609629851</v>
      </c>
      <c r="W114" s="119">
        <f t="shared" si="78"/>
        <v>0.4824519850786304</v>
      </c>
      <c r="X114" s="119">
        <f t="shared" si="78"/>
        <v>1.4920235676436704</v>
      </c>
      <c r="Y114" s="119">
        <f t="shared" si="78"/>
        <v>2.1002673184187075</v>
      </c>
      <c r="Z114" s="119">
        <f t="shared" si="78"/>
        <v>2.2918719987576357</v>
      </c>
    </row>
    <row r="115" spans="1:26" s="43" customFormat="1" ht="12.75">
      <c r="A115" s="2" t="s">
        <v>261</v>
      </c>
      <c r="B115" s="43">
        <f>B110-12</f>
        <v>-0.11991855841926302</v>
      </c>
      <c r="C115" s="43">
        <f aca="true" t="shared" si="79" ref="C115:Z115">C110-12</f>
        <v>0.24636558263106778</v>
      </c>
      <c r="D115" s="43">
        <f t="shared" si="79"/>
        <v>0.5573443618094949</v>
      </c>
      <c r="E115" s="43">
        <f t="shared" si="79"/>
        <v>0.7855849422815773</v>
      </c>
      <c r="F115" s="43">
        <f t="shared" si="79"/>
        <v>0.9225722569770571</v>
      </c>
      <c r="G115" s="43">
        <f t="shared" si="79"/>
        <v>0.9758814745997118</v>
      </c>
      <c r="H115" s="43">
        <f t="shared" si="79"/>
        <v>0.9648801492103818</v>
      </c>
      <c r="I115" s="43">
        <f t="shared" si="79"/>
        <v>0.9151574647146532</v>
      </c>
      <c r="J115" s="43">
        <f t="shared" si="79"/>
        <v>0.8524213609357467</v>
      </c>
      <c r="K115" s="43">
        <f t="shared" si="79"/>
        <v>0.7971280676156525</v>
      </c>
      <c r="L115" s="43">
        <f t="shared" si="79"/>
        <v>0.7610361863345361</v>
      </c>
      <c r="M115" s="43">
        <f t="shared" si="79"/>
        <v>0.7459925895697452</v>
      </c>
      <c r="N115" s="43">
        <f t="shared" si="79"/>
        <v>0.7441311535610371</v>
      </c>
      <c r="O115" s="43">
        <f t="shared" si="79"/>
        <v>0.738211806703152</v>
      </c>
      <c r="P115" s="43">
        <f t="shared" si="79"/>
        <v>0.7015373170971078</v>
      </c>
      <c r="Q115" s="43">
        <f t="shared" si="79"/>
        <v>0.5989325915227948</v>
      </c>
      <c r="R115" s="43">
        <f t="shared" si="79"/>
        <v>0.393820655388323</v>
      </c>
      <c r="S115" s="43">
        <f t="shared" si="79"/>
        <v>0.06918135787812396</v>
      </c>
      <c r="T115" s="43">
        <f t="shared" si="79"/>
        <v>-0.3387436668568782</v>
      </c>
      <c r="U115" s="43">
        <f t="shared" si="79"/>
        <v>-0.7256477787286268</v>
      </c>
      <c r="V115" s="43">
        <f t="shared" si="79"/>
        <v>-0.9654399420900663</v>
      </c>
      <c r="W115" s="43">
        <f t="shared" si="79"/>
        <v>-0.9884776156965263</v>
      </c>
      <c r="X115" s="43">
        <f t="shared" si="79"/>
        <v>-0.8092353586193646</v>
      </c>
      <c r="Y115" s="43">
        <f t="shared" si="79"/>
        <v>-0.4939151426942541</v>
      </c>
      <c r="Z115" s="43">
        <f t="shared" si="79"/>
        <v>-0.11991855841926302</v>
      </c>
    </row>
    <row r="116" spans="1:26" s="118" customFormat="1" ht="12.75">
      <c r="A116" s="117" t="s">
        <v>202</v>
      </c>
      <c r="B116" s="118">
        <f aca="true" t="shared" si="80" ref="B116:Y116">B106/RADIANS($F$12)*B29</f>
        <v>1.3991023589838865</v>
      </c>
      <c r="C116" s="118">
        <f t="shared" si="80"/>
        <v>1.187851437670332</v>
      </c>
      <c r="D116" s="118">
        <f t="shared" si="80"/>
        <v>0.8740972041157842</v>
      </c>
      <c r="E116" s="118">
        <f t="shared" si="80"/>
        <v>0.5273626180329807</v>
      </c>
      <c r="F116" s="118">
        <f t="shared" si="80"/>
        <v>0.20682058902200745</v>
      </c>
      <c r="G116" s="118">
        <f t="shared" si="80"/>
        <v>-0.04311780910843693</v>
      </c>
      <c r="H116" s="118">
        <f t="shared" si="80"/>
        <v>-0.1973272743187858</v>
      </c>
      <c r="I116" s="118">
        <f t="shared" si="80"/>
        <v>-0.2526402615275133</v>
      </c>
      <c r="J116" s="118">
        <f t="shared" si="80"/>
        <v>-0.22639319912384173</v>
      </c>
      <c r="K116" s="118">
        <f t="shared" si="80"/>
        <v>-0.15051352879215954</v>
      </c>
      <c r="L116" s="118">
        <f t="shared" si="80"/>
        <v>-0.0639992176630217</v>
      </c>
      <c r="M116" s="118">
        <f t="shared" si="80"/>
        <v>-0.00808950937495108</v>
      </c>
      <c r="N116" s="118">
        <f t="shared" si="80"/>
        <v>-0.026309176029857363</v>
      </c>
      <c r="O116" s="118">
        <f t="shared" si="80"/>
        <v>-0.16687187154697433</v>
      </c>
      <c r="P116" s="118">
        <f t="shared" si="80"/>
        <v>-0.47832301027632923</v>
      </c>
      <c r="Q116" s="118">
        <f t="shared" si="80"/>
        <v>-0.980297765177357</v>
      </c>
      <c r="R116" s="118">
        <f t="shared" si="80"/>
        <v>-1.5914582648355442</v>
      </c>
      <c r="S116" s="118">
        <f t="shared" si="80"/>
        <v>-2.05190775538234</v>
      </c>
      <c r="T116" s="118">
        <f t="shared" si="80"/>
        <v>-1.9974197324094007</v>
      </c>
      <c r="U116" s="118">
        <f t="shared" si="80"/>
        <v>-1.2707203448703401</v>
      </c>
      <c r="V116" s="118">
        <f t="shared" si="80"/>
        <v>-0.1253211595961979</v>
      </c>
      <c r="W116" s="118">
        <f t="shared" si="80"/>
        <v>1.000888089928871</v>
      </c>
      <c r="X116" s="118">
        <f t="shared" si="80"/>
        <v>1.8072430192715785</v>
      </c>
      <c r="Y116" s="118">
        <f t="shared" si="80"/>
        <v>2.199826784474429</v>
      </c>
      <c r="Z116" s="118">
        <f>Y116</f>
        <v>2.199826784474429</v>
      </c>
    </row>
    <row r="117" spans="1:26" s="119" customFormat="1" ht="18">
      <c r="A117" s="150" t="s">
        <v>269</v>
      </c>
      <c r="B117" s="119">
        <f>B114*TAN($B$16)</f>
        <v>5.413469477123656</v>
      </c>
      <c r="C117" s="119">
        <f aca="true" t="shared" si="81" ref="C117:Z117">C114*TAN($B$16)</f>
        <v>4.916286042134883</v>
      </c>
      <c r="D117" s="119">
        <f t="shared" si="81"/>
        <v>3.8952705419729305</v>
      </c>
      <c r="E117" s="119">
        <f t="shared" si="81"/>
        <v>2.6230958487201774</v>
      </c>
      <c r="F117" s="119">
        <f t="shared" si="81"/>
        <v>1.3427204508991328</v>
      </c>
      <c r="G117" s="119">
        <f t="shared" si="81"/>
        <v>0.25166475825434453</v>
      </c>
      <c r="H117" s="119">
        <f t="shared" si="81"/>
        <v>-0.5159825629205582</v>
      </c>
      <c r="I117" s="119">
        <f t="shared" si="81"/>
        <v>-0.9051993075386215</v>
      </c>
      <c r="J117" s="119">
        <f t="shared" si="81"/>
        <v>-0.9439504515107089</v>
      </c>
      <c r="K117" s="119">
        <f t="shared" si="81"/>
        <v>-0.7289136962504368</v>
      </c>
      <c r="L117" s="119">
        <f t="shared" si="81"/>
        <v>-0.39769928591201303</v>
      </c>
      <c r="M117" s="119">
        <f t="shared" si="81"/>
        <v>-0.10310444732603467</v>
      </c>
      <c r="N117" s="119">
        <f t="shared" si="81"/>
        <v>-0.003896797178535698</v>
      </c>
      <c r="O117" s="119">
        <f t="shared" si="81"/>
        <v>-0.2726832277627956</v>
      </c>
      <c r="P117" s="119">
        <f t="shared" si="81"/>
        <v>-1.1004139390154193</v>
      </c>
      <c r="Q117" s="119">
        <f t="shared" si="81"/>
        <v>-2.6468960291289223</v>
      </c>
      <c r="R117" s="119">
        <f t="shared" si="81"/>
        <v>-4.853809878257498</v>
      </c>
      <c r="S117" s="119">
        <f t="shared" si="81"/>
        <v>-7.102325306351863</v>
      </c>
      <c r="T117" s="119">
        <f t="shared" si="81"/>
        <v>-8.078489470404502</v>
      </c>
      <c r="U117" s="119">
        <f t="shared" si="81"/>
        <v>-6.564259799679648</v>
      </c>
      <c r="V117" s="119">
        <f t="shared" si="81"/>
        <v>-2.752944893284575</v>
      </c>
      <c r="W117" s="119">
        <f t="shared" si="81"/>
        <v>1.8005353205259107</v>
      </c>
      <c r="X117" s="119">
        <f t="shared" si="81"/>
        <v>5.568307760536358</v>
      </c>
      <c r="Y117" s="119">
        <f t="shared" si="81"/>
        <v>7.838304341815059</v>
      </c>
      <c r="Z117" s="119">
        <f t="shared" si="81"/>
        <v>8.553382743807932</v>
      </c>
    </row>
    <row r="118" spans="1:26" s="43" customFormat="1" ht="15">
      <c r="A118" s="151" t="s">
        <v>264</v>
      </c>
      <c r="B118" s="43">
        <f aca="true" t="shared" si="82" ref="B118:Y118">(C114-B114)/RADIANS($F$12)*B29</f>
        <v>-0.508862534077348</v>
      </c>
      <c r="C118" s="43">
        <f t="shared" si="82"/>
        <v>-1.044999688608679</v>
      </c>
      <c r="D118" s="43">
        <f t="shared" si="82"/>
        <v>-1.3054675244060974</v>
      </c>
      <c r="E118" s="43">
        <f t="shared" si="82"/>
        <v>-1.3207443526152935</v>
      </c>
      <c r="F118" s="43">
        <f t="shared" si="82"/>
        <v>-1.1342031104092016</v>
      </c>
      <c r="G118" s="43">
        <f t="shared" si="82"/>
        <v>-0.8061685777615635</v>
      </c>
      <c r="H118" s="43">
        <f t="shared" si="82"/>
        <v>-0.41388197947615835</v>
      </c>
      <c r="I118" s="43">
        <f t="shared" si="82"/>
        <v>-0.041814027368742734</v>
      </c>
      <c r="J118" s="43">
        <f t="shared" si="82"/>
        <v>0.23591527938240756</v>
      </c>
      <c r="K118" s="43">
        <f t="shared" si="82"/>
        <v>0.37010733634035414</v>
      </c>
      <c r="L118" s="43">
        <f t="shared" si="82"/>
        <v>0.33581536823051994</v>
      </c>
      <c r="M118" s="43">
        <f t="shared" si="82"/>
        <v>0.11552385883613119</v>
      </c>
      <c r="N118" s="43">
        <f t="shared" si="82"/>
        <v>-0.32010558389693466</v>
      </c>
      <c r="O118" s="43">
        <f t="shared" si="82"/>
        <v>-1.0091612820525435</v>
      </c>
      <c r="P118" s="43">
        <f t="shared" si="82"/>
        <v>-1.9317514980481354</v>
      </c>
      <c r="Q118" s="43">
        <f t="shared" si="82"/>
        <v>-2.8262131379792503</v>
      </c>
      <c r="R118" s="43">
        <f t="shared" si="82"/>
        <v>-2.9535374932539855</v>
      </c>
      <c r="S118" s="43">
        <f t="shared" si="82"/>
        <v>-1.3156876469447316</v>
      </c>
      <c r="T118" s="43">
        <f t="shared" si="82"/>
        <v>2.0946438689602465</v>
      </c>
      <c r="U118" s="43">
        <f t="shared" si="82"/>
        <v>5.411806791416274</v>
      </c>
      <c r="V118" s="43">
        <f t="shared" si="82"/>
        <v>6.637150873947338</v>
      </c>
      <c r="W118" s="43">
        <f t="shared" si="82"/>
        <v>5.637443923086763</v>
      </c>
      <c r="X118" s="43">
        <f t="shared" si="82"/>
        <v>3.4861205120600998</v>
      </c>
      <c r="Y118" s="43">
        <f t="shared" si="82"/>
        <v>1.1270079074580965</v>
      </c>
      <c r="Z118" s="43">
        <f>Y118</f>
        <v>1.1270079074580965</v>
      </c>
    </row>
    <row r="119" spans="1:182" s="43" customFormat="1" ht="15">
      <c r="A119" s="151" t="s">
        <v>265</v>
      </c>
      <c r="B119" s="119">
        <f aca="true" t="shared" si="83" ref="B119:Z119">B118*TAN($B$16)</f>
        <v>-1.8991008312449122</v>
      </c>
      <c r="C119" s="119">
        <f t="shared" si="83"/>
        <v>-3.899991931781246</v>
      </c>
      <c r="D119" s="119">
        <f t="shared" si="83"/>
        <v>-4.872071128714719</v>
      </c>
      <c r="E119" s="119">
        <f t="shared" si="83"/>
        <v>-4.929085027769941</v>
      </c>
      <c r="F119" s="119">
        <f t="shared" si="83"/>
        <v>-4.232903634149793</v>
      </c>
      <c r="G119" s="119">
        <f t="shared" si="83"/>
        <v>-3.0086620916716966</v>
      </c>
      <c r="H119" s="119">
        <f t="shared" si="83"/>
        <v>-1.5446285757422025</v>
      </c>
      <c r="I119" s="119">
        <f t="shared" si="83"/>
        <v>-0.15605207460922346</v>
      </c>
      <c r="J119" s="119">
        <f t="shared" si="83"/>
        <v>0.8804478089369515</v>
      </c>
      <c r="K119" s="119">
        <f t="shared" si="83"/>
        <v>1.3812593834761848</v>
      </c>
      <c r="L119" s="119">
        <f t="shared" si="83"/>
        <v>1.2532800161987518</v>
      </c>
      <c r="M119" s="119">
        <f t="shared" si="83"/>
        <v>0.4311409106628564</v>
      </c>
      <c r="N119" s="119">
        <f t="shared" si="83"/>
        <v>-1.194650302889862</v>
      </c>
      <c r="O119" s="119">
        <f t="shared" si="83"/>
        <v>-3.766241177651439</v>
      </c>
      <c r="P119" s="119">
        <f t="shared" si="83"/>
        <v>-7.209394738312933</v>
      </c>
      <c r="Q119" s="119">
        <f t="shared" si="83"/>
        <v>-10.547571023957232</v>
      </c>
      <c r="R119" s="119">
        <f t="shared" si="83"/>
        <v>-11.022751986883495</v>
      </c>
      <c r="S119" s="119">
        <f t="shared" si="83"/>
        <v>-4.910213145288482</v>
      </c>
      <c r="T119" s="119">
        <f t="shared" si="83"/>
        <v>7.817317342722286</v>
      </c>
      <c r="U119" s="119">
        <f t="shared" si="83"/>
        <v>20.19713790631184</v>
      </c>
      <c r="V119" s="119">
        <f t="shared" si="83"/>
        <v>24.770184279071643</v>
      </c>
      <c r="W119" s="119">
        <f t="shared" si="83"/>
        <v>21.039227145780213</v>
      </c>
      <c r="X119" s="119">
        <f t="shared" si="83"/>
        <v>13.010378872316325</v>
      </c>
      <c r="Y119" s="119">
        <f t="shared" si="83"/>
        <v>4.2060507711655</v>
      </c>
      <c r="Z119" s="119">
        <f t="shared" si="83"/>
        <v>4.2060507711655</v>
      </c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/>
      <c r="FY119" s="119"/>
      <c r="FZ119" s="119"/>
    </row>
    <row r="120" s="43" customFormat="1" ht="12.75">
      <c r="A120" s="2"/>
    </row>
    <row r="121" s="43" customFormat="1" ht="12.75">
      <c r="A121" s="2"/>
    </row>
    <row r="122" spans="27:182" ht="12.75">
      <c r="AA122" s="41"/>
      <c r="FZ122" s="41"/>
    </row>
    <row r="123" spans="1:182" ht="13.5" thickBot="1">
      <c r="A123" s="20" t="s">
        <v>144</v>
      </c>
      <c r="AA123" s="41"/>
      <c r="FZ123" s="41"/>
    </row>
    <row r="124" spans="1:26" s="39" customFormat="1" ht="12.75">
      <c r="A124" s="120" t="s">
        <v>145</v>
      </c>
      <c r="B124" s="75">
        <f aca="true" t="shared" si="84" ref="B124:Y124">B100+$B$17*COS($B$16)</f>
        <v>15.503548073016029</v>
      </c>
      <c r="C124" s="39">
        <f t="shared" si="84"/>
        <v>15.869832214066356</v>
      </c>
      <c r="D124" s="39">
        <f t="shared" si="84"/>
        <v>16.18081099324479</v>
      </c>
      <c r="E124" s="39">
        <f t="shared" si="84"/>
        <v>16.409051573716866</v>
      </c>
      <c r="F124" s="39">
        <f t="shared" si="84"/>
        <v>16.546038888412347</v>
      </c>
      <c r="G124" s="39">
        <f t="shared" si="84"/>
        <v>16.599348106035002</v>
      </c>
      <c r="H124" s="39">
        <f t="shared" si="84"/>
        <v>16.588346780645672</v>
      </c>
      <c r="I124" s="39">
        <f t="shared" si="84"/>
        <v>16.538624096149945</v>
      </c>
      <c r="J124" s="39">
        <f t="shared" si="84"/>
        <v>16.475887992371035</v>
      </c>
      <c r="K124" s="39">
        <f t="shared" si="84"/>
        <v>16.420594699050945</v>
      </c>
      <c r="L124" s="39">
        <f t="shared" si="84"/>
        <v>16.384502817769828</v>
      </c>
      <c r="M124" s="39">
        <f t="shared" si="84"/>
        <v>16.369459221005034</v>
      </c>
      <c r="N124" s="39">
        <f t="shared" si="84"/>
        <v>16.367597784996327</v>
      </c>
      <c r="O124" s="39">
        <f t="shared" si="84"/>
        <v>16.361678438138444</v>
      </c>
      <c r="P124" s="39">
        <f t="shared" si="84"/>
        <v>16.325003948532398</v>
      </c>
      <c r="Q124" s="39">
        <f t="shared" si="84"/>
        <v>16.22239922295808</v>
      </c>
      <c r="R124" s="39">
        <f t="shared" si="84"/>
        <v>16.017287286823613</v>
      </c>
      <c r="S124" s="39">
        <f t="shared" si="84"/>
        <v>15.692647989313414</v>
      </c>
      <c r="T124" s="39">
        <f t="shared" si="84"/>
        <v>15.284722964578414</v>
      </c>
      <c r="U124" s="39">
        <f t="shared" si="84"/>
        <v>14.897818852706662</v>
      </c>
      <c r="V124" s="39">
        <f t="shared" si="84"/>
        <v>14.658026689345224</v>
      </c>
      <c r="W124" s="39">
        <f t="shared" si="84"/>
        <v>14.634989015738766</v>
      </c>
      <c r="X124" s="39">
        <f t="shared" si="84"/>
        <v>14.814231272815926</v>
      </c>
      <c r="Y124" s="39">
        <f t="shared" si="84"/>
        <v>15.129551488741036</v>
      </c>
      <c r="Z124" s="39">
        <f>Z100+$B$17*COS($B$16)</f>
        <v>15.503548073016029</v>
      </c>
    </row>
    <row r="125" spans="1:26" s="64" customFormat="1" ht="13.5" thickBot="1">
      <c r="A125" s="121" t="s">
        <v>146</v>
      </c>
      <c r="B125" s="77">
        <f aca="true" t="shared" si="85" ref="B125:Y125">B101+$B$17*SIN($B$16)</f>
        <v>12.86002910608239</v>
      </c>
      <c r="C125" s="64">
        <f t="shared" si="85"/>
        <v>14.227020130488935</v>
      </c>
      <c r="D125" s="64">
        <f t="shared" si="85"/>
        <v>15.387608734458585</v>
      </c>
      <c r="E125" s="64">
        <f t="shared" si="85"/>
        <v>16.239414177129387</v>
      </c>
      <c r="F125" s="64">
        <f t="shared" si="85"/>
        <v>16.750657795565363</v>
      </c>
      <c r="G125" s="64">
        <f t="shared" si="85"/>
        <v>16.94961050424485</v>
      </c>
      <c r="H125" s="64">
        <f t="shared" si="85"/>
        <v>16.90855299894127</v>
      </c>
      <c r="I125" s="64">
        <f t="shared" si="85"/>
        <v>16.7229854141145</v>
      </c>
      <c r="J125" s="64">
        <f t="shared" si="85"/>
        <v>16.4888510873427</v>
      </c>
      <c r="K125" s="64">
        <f t="shared" si="85"/>
        <v>16.282493707354302</v>
      </c>
      <c r="L125" s="64">
        <f t="shared" si="85"/>
        <v>16.147796972672435</v>
      </c>
      <c r="M125" s="64">
        <f t="shared" si="85"/>
        <v>16.091653505217646</v>
      </c>
      <c r="N125" s="64">
        <f t="shared" si="85"/>
        <v>16.084706531458107</v>
      </c>
      <c r="O125" s="64">
        <f t="shared" si="85"/>
        <v>16.062615228236876</v>
      </c>
      <c r="P125" s="64">
        <f t="shared" si="85"/>
        <v>15.925744169685462</v>
      </c>
      <c r="Q125" s="64">
        <f t="shared" si="85"/>
        <v>15.542818120745448</v>
      </c>
      <c r="R125" s="64">
        <f t="shared" si="85"/>
        <v>14.777329953852782</v>
      </c>
      <c r="S125" s="64">
        <f t="shared" si="85"/>
        <v>13.565759601411255</v>
      </c>
      <c r="T125" s="64">
        <f t="shared" si="85"/>
        <v>12.043362683421439</v>
      </c>
      <c r="U125" s="64">
        <f t="shared" si="85"/>
        <v>10.599416880258747</v>
      </c>
      <c r="V125" s="64">
        <f t="shared" si="85"/>
        <v>9.704500343337006</v>
      </c>
      <c r="W125" s="64">
        <f t="shared" si="85"/>
        <v>9.618522574949512</v>
      </c>
      <c r="X125" s="64">
        <f t="shared" si="85"/>
        <v>10.287463785224798</v>
      </c>
      <c r="Y125" s="64">
        <f t="shared" si="85"/>
        <v>11.464254851710901</v>
      </c>
      <c r="Z125" s="64">
        <f>Z101+$B$17*SIN($B$16)</f>
        <v>12.86002910608239</v>
      </c>
    </row>
    <row r="126" spans="27:182" ht="12.75">
      <c r="AA126" s="41"/>
      <c r="FZ126" s="41"/>
    </row>
    <row r="127" spans="1:182" ht="12.75">
      <c r="A127" s="20" t="s">
        <v>119</v>
      </c>
      <c r="AA127" s="41"/>
      <c r="FZ127" s="41"/>
    </row>
    <row r="128" spans="27:182" ht="13.5" thickBot="1">
      <c r="AA128" s="41"/>
      <c r="FZ128" s="41"/>
    </row>
    <row r="129" spans="1:26" s="79" customFormat="1" ht="12.75">
      <c r="A129" s="22" t="s">
        <v>120</v>
      </c>
      <c r="B129" s="126">
        <f aca="true" t="shared" si="86" ref="B129:Y129">1/2*$D$6*(B44^2+B45^2)+1/2*$B$15*B29^2</f>
        <v>25.9898</v>
      </c>
      <c r="C129" s="79">
        <f t="shared" si="86"/>
        <v>25.989800000000002</v>
      </c>
      <c r="D129" s="79">
        <f t="shared" si="86"/>
        <v>26.126060405861324</v>
      </c>
      <c r="E129" s="79">
        <f t="shared" si="86"/>
        <v>26.399650005269233</v>
      </c>
      <c r="F129" s="79">
        <f t="shared" si="86"/>
        <v>26.811623642972783</v>
      </c>
      <c r="G129" s="79">
        <f t="shared" si="86"/>
        <v>27.362989353812186</v>
      </c>
      <c r="H129" s="79">
        <f t="shared" si="86"/>
        <v>28.05467804046668</v>
      </c>
      <c r="I129" s="79">
        <f t="shared" si="86"/>
        <v>28.88751795993377</v>
      </c>
      <c r="J129" s="79">
        <f t="shared" si="86"/>
        <v>29.862215712144636</v>
      </c>
      <c r="K129" s="79">
        <f t="shared" si="86"/>
        <v>30.979344650721853</v>
      </c>
      <c r="L129" s="79">
        <f t="shared" si="86"/>
        <v>32.239340806039685</v>
      </c>
      <c r="M129" s="79">
        <f t="shared" si="86"/>
        <v>33.64250566855307</v>
      </c>
      <c r="N129" s="79">
        <f t="shared" si="86"/>
        <v>35.1890146326029</v>
      </c>
      <c r="O129" s="79">
        <f t="shared" si="86"/>
        <v>36.87892959788911</v>
      </c>
      <c r="P129" s="79">
        <f t="shared" si="86"/>
        <v>38.71221416139565</v>
      </c>
      <c r="Q129" s="79">
        <f t="shared" si="86"/>
        <v>40.688749959081925</v>
      </c>
      <c r="R129" s="79">
        <f t="shared" si="86"/>
        <v>42.80835296630583</v>
      </c>
      <c r="S129" s="79">
        <f t="shared" si="86"/>
        <v>45.07078887052777</v>
      </c>
      <c r="T129" s="79">
        <f t="shared" si="86"/>
        <v>47.475786934112485</v>
      </c>
      <c r="U129" s="79">
        <f t="shared" si="86"/>
        <v>50.02305203237508</v>
      </c>
      <c r="V129" s="79">
        <f t="shared" si="86"/>
        <v>52.712274764013465</v>
      </c>
      <c r="W129" s="79">
        <f t="shared" si="86"/>
        <v>55.54313968365706</v>
      </c>
      <c r="X129" s="79">
        <f t="shared" si="86"/>
        <v>58.51533180464774</v>
      </c>
      <c r="Y129" s="79">
        <f t="shared" si="86"/>
        <v>61.62854157426257</v>
      </c>
      <c r="Z129" s="79">
        <f>1/2*$D$6*(Z44^2+Z45^2)+1/2*$B$15*Z29^2</f>
        <v>64.88246854461242</v>
      </c>
    </row>
    <row r="130" spans="1:26" s="80" customFormat="1" ht="13.5" customHeight="1">
      <c r="A130" s="23" t="s">
        <v>46</v>
      </c>
      <c r="B130" s="127">
        <f aca="true" t="shared" si="87" ref="B130:Y130">$D$6*B46</f>
        <v>-7.14</v>
      </c>
      <c r="C130" s="80">
        <f t="shared" si="87"/>
        <v>-6.915190079524268</v>
      </c>
      <c r="D130" s="80">
        <f t="shared" si="87"/>
        <v>-6.287240082174484</v>
      </c>
      <c r="E130" s="80">
        <f t="shared" si="87"/>
        <v>-5.279821582463144</v>
      </c>
      <c r="F130" s="80">
        <f t="shared" si="87"/>
        <v>-3.9302238496575694</v>
      </c>
      <c r="G130" s="80">
        <f t="shared" si="87"/>
        <v>-2.2904421894681235</v>
      </c>
      <c r="H130" s="80">
        <f t="shared" si="87"/>
        <v>-0.4284000000000005</v>
      </c>
      <c r="I130" s="80">
        <f t="shared" si="87"/>
        <v>1.5712363925115282</v>
      </c>
      <c r="J130" s="80">
        <f t="shared" si="87"/>
        <v>3.607247431204603</v>
      </c>
      <c r="K130" s="80">
        <f t="shared" si="87"/>
        <v>5.5636176075985615</v>
      </c>
      <c r="L130" s="80">
        <f t="shared" si="87"/>
        <v>7.313294858543113</v>
      </c>
      <c r="M130" s="80">
        <f t="shared" si="87"/>
        <v>8.724172702670788</v>
      </c>
      <c r="N130" s="80">
        <f t="shared" si="87"/>
        <v>9.667237319132301</v>
      </c>
      <c r="O130" s="80">
        <f t="shared" si="87"/>
        <v>10.026509579197821</v>
      </c>
      <c r="P130" s="80">
        <f t="shared" si="87"/>
        <v>9.710102996931798</v>
      </c>
      <c r="Q130" s="80">
        <f t="shared" si="87"/>
        <v>8.661451365285085</v>
      </c>
      <c r="R130" s="80">
        <f t="shared" si="87"/>
        <v>6.86957043530084</v>
      </c>
      <c r="S130" s="80">
        <f t="shared" si="87"/>
        <v>4.377135485017883</v>
      </c>
      <c r="T130" s="80">
        <f t="shared" si="87"/>
        <v>1.2852000000000026</v>
      </c>
      <c r="U130" s="80">
        <f t="shared" si="87"/>
        <v>-2.2464434112446727</v>
      </c>
      <c r="V130" s="80">
        <f t="shared" si="87"/>
        <v>-6.003957086835635</v>
      </c>
      <c r="W130" s="80">
        <f t="shared" si="87"/>
        <v>-9.72949719264201</v>
      </c>
      <c r="X130" s="80">
        <f t="shared" si="87"/>
        <v>-13.136406012952047</v>
      </c>
      <c r="Y130" s="80">
        <f t="shared" si="87"/>
        <v>-15.928852488058325</v>
      </c>
      <c r="Z130" s="80">
        <f>$D$6*Z46</f>
        <v>-17.82471682769905</v>
      </c>
    </row>
    <row r="131" spans="1:26" s="80" customFormat="1" ht="13.5" customHeight="1">
      <c r="A131" s="23" t="s">
        <v>47</v>
      </c>
      <c r="B131" s="127">
        <f aca="true" t="shared" si="88" ref="B131:Y131">$D$6*B47</f>
        <v>0</v>
      </c>
      <c r="C131" s="80">
        <f t="shared" si="88"/>
        <v>-1.7790008780349587</v>
      </c>
      <c r="D131" s="80">
        <f t="shared" si="88"/>
        <v>-3.4650485170226855</v>
      </c>
      <c r="E131" s="80">
        <f t="shared" si="88"/>
        <v>-4.976897037402825</v>
      </c>
      <c r="F131" s="80">
        <f t="shared" si="88"/>
        <v>-6.2361473927258535</v>
      </c>
      <c r="G131" s="80">
        <f t="shared" si="88"/>
        <v>-7.168704542953549</v>
      </c>
      <c r="H131" s="80">
        <f t="shared" si="88"/>
        <v>-7.7072698215812405</v>
      </c>
      <c r="I131" s="80">
        <f t="shared" si="88"/>
        <v>-7.7950129594713635</v>
      </c>
      <c r="J131" s="80">
        <f t="shared" si="88"/>
        <v>-7.390335826318695</v>
      </c>
      <c r="K131" s="80">
        <f t="shared" si="88"/>
        <v>-6.472391242779514</v>
      </c>
      <c r="L131" s="80">
        <f t="shared" si="88"/>
        <v>-5.046788939645756</v>
      </c>
      <c r="M131" s="80">
        <f t="shared" si="88"/>
        <v>-3.150740942404364</v>
      </c>
      <c r="N131" s="80">
        <f t="shared" si="88"/>
        <v>-0.856800000000001</v>
      </c>
      <c r="O131" s="80">
        <f t="shared" si="88"/>
        <v>1.7256517939923324</v>
      </c>
      <c r="P131" s="80">
        <f t="shared" si="88"/>
        <v>4.451891920973667</v>
      </c>
      <c r="Q131" s="80">
        <f t="shared" si="88"/>
        <v>7.146828639983498</v>
      </c>
      <c r="R131" s="80">
        <f t="shared" si="88"/>
        <v>9.613645020114092</v>
      </c>
      <c r="S131" s="80">
        <f t="shared" si="88"/>
        <v>11.645928949900702</v>
      </c>
      <c r="T131" s="80">
        <f t="shared" si="88"/>
        <v>13.042698239677227</v>
      </c>
      <c r="U131" s="80">
        <f t="shared" si="88"/>
        <v>13.62534085086849</v>
      </c>
      <c r="V131" s="80">
        <f t="shared" si="88"/>
        <v>13.255158720862545</v>
      </c>
      <c r="W131" s="80">
        <f t="shared" si="88"/>
        <v>11.849969008064233</v>
      </c>
      <c r="X131" s="80">
        <f t="shared" si="88"/>
        <v>9.398111153448223</v>
      </c>
      <c r="Y131" s="80">
        <f t="shared" si="88"/>
        <v>5.968253703999145</v>
      </c>
      <c r="Z131" s="80">
        <f>$D$6*Z47</f>
        <v>1.713600000000005</v>
      </c>
    </row>
    <row r="132" spans="1:26" s="80" customFormat="1" ht="13.5" customHeight="1">
      <c r="A132" s="23" t="s">
        <v>48</v>
      </c>
      <c r="B132" s="127">
        <f aca="true" t="shared" si="89" ref="B132:Y132">$B$15*B27</f>
        <v>0</v>
      </c>
      <c r="C132" s="80">
        <f t="shared" si="89"/>
        <v>0.01</v>
      </c>
      <c r="D132" s="80">
        <f t="shared" si="89"/>
        <v>0.02</v>
      </c>
      <c r="E132" s="80">
        <f t="shared" si="89"/>
        <v>0.03</v>
      </c>
      <c r="F132" s="80">
        <f t="shared" si="89"/>
        <v>0.04</v>
      </c>
      <c r="G132" s="80">
        <f t="shared" si="89"/>
        <v>0.05</v>
      </c>
      <c r="H132" s="80">
        <f t="shared" si="89"/>
        <v>0.060000000000000005</v>
      </c>
      <c r="I132" s="80">
        <f t="shared" si="89"/>
        <v>0.07</v>
      </c>
      <c r="J132" s="80">
        <f t="shared" si="89"/>
        <v>0.08</v>
      </c>
      <c r="K132" s="80">
        <f t="shared" si="89"/>
        <v>0.09</v>
      </c>
      <c r="L132" s="80">
        <f t="shared" si="89"/>
        <v>0.09999999999999999</v>
      </c>
      <c r="M132" s="80">
        <f t="shared" si="89"/>
        <v>0.10999999999999999</v>
      </c>
      <c r="N132" s="80">
        <f t="shared" si="89"/>
        <v>0.11999999999999998</v>
      </c>
      <c r="O132" s="80">
        <f t="shared" si="89"/>
        <v>0.12999999999999998</v>
      </c>
      <c r="P132" s="80">
        <f t="shared" si="89"/>
        <v>0.13999999999999999</v>
      </c>
      <c r="Q132" s="80">
        <f t="shared" si="89"/>
        <v>0.15</v>
      </c>
      <c r="R132" s="80">
        <f t="shared" si="89"/>
        <v>0.16</v>
      </c>
      <c r="S132" s="80">
        <f t="shared" si="89"/>
        <v>0.17</v>
      </c>
      <c r="T132" s="80">
        <f t="shared" si="89"/>
        <v>0.18000000000000002</v>
      </c>
      <c r="U132" s="80">
        <f t="shared" si="89"/>
        <v>0.19000000000000003</v>
      </c>
      <c r="V132" s="80">
        <f t="shared" si="89"/>
        <v>0.20000000000000004</v>
      </c>
      <c r="W132" s="80">
        <f t="shared" si="89"/>
        <v>0.21000000000000005</v>
      </c>
      <c r="X132" s="80">
        <f t="shared" si="89"/>
        <v>0.22000000000000006</v>
      </c>
      <c r="Y132" s="80">
        <f t="shared" si="89"/>
        <v>0.23000000000000007</v>
      </c>
      <c r="Z132" s="80">
        <f>$B$15*Z27</f>
        <v>0.24000000000000007</v>
      </c>
    </row>
    <row r="133" spans="1:182" s="80" customFormat="1" ht="12.75">
      <c r="A133" s="24" t="s">
        <v>121</v>
      </c>
      <c r="B133" s="127">
        <f aca="true" t="shared" si="90" ref="B133:X133">(C129-B129)/RADIANS($F$12)*B29</f>
        <v>1.3570366640911006E-14</v>
      </c>
      <c r="C133" s="82">
        <f t="shared" si="90"/>
        <v>0.5204764113728925</v>
      </c>
      <c r="D133" s="82">
        <f t="shared" si="90"/>
        <v>1.0477711869772854</v>
      </c>
      <c r="E133" s="82">
        <f t="shared" si="90"/>
        <v>1.5859825898687776</v>
      </c>
      <c r="F133" s="82">
        <f t="shared" si="90"/>
        <v>2.139100631517921</v>
      </c>
      <c r="G133" s="82">
        <f t="shared" si="90"/>
        <v>2.7109552438617914</v>
      </c>
      <c r="H133" s="82">
        <f t="shared" si="90"/>
        <v>3.3051721345906357</v>
      </c>
      <c r="I133" s="82">
        <f t="shared" si="90"/>
        <v>3.925138480015288</v>
      </c>
      <c r="J133" s="82">
        <f t="shared" si="90"/>
        <v>4.5739795742355485</v>
      </c>
      <c r="K133" s="82">
        <f t="shared" si="90"/>
        <v>5.254546476098094</v>
      </c>
      <c r="L133" s="82">
        <f t="shared" si="90"/>
        <v>5.969413755044641</v>
      </c>
      <c r="M133" s="82">
        <f t="shared" si="90"/>
        <v>6.720885759489209</v>
      </c>
      <c r="N133" s="82">
        <f t="shared" si="90"/>
        <v>7.511009468554288</v>
      </c>
      <c r="O133" s="82">
        <f t="shared" si="90"/>
        <v>8.34159192061654</v>
      </c>
      <c r="P133" s="82">
        <f t="shared" si="90"/>
        <v>9.214220372174335</v>
      </c>
      <c r="Q133" s="82">
        <f t="shared" si="90"/>
        <v>10.130283640258673</v>
      </c>
      <c r="R133" s="82">
        <f t="shared" si="90"/>
        <v>11.090993438098986</v>
      </c>
      <c r="S133" s="82">
        <f t="shared" si="90"/>
        <v>12.097404863932514</v>
      </c>
      <c r="T133" s="82">
        <f t="shared" si="90"/>
        <v>13.150435507994773</v>
      </c>
      <c r="U133" s="82">
        <f t="shared" si="90"/>
        <v>14.250882885734192</v>
      </c>
      <c r="V133" s="82">
        <f t="shared" si="90"/>
        <v>15.399440084544004</v>
      </c>
      <c r="W133" s="82">
        <f t="shared" si="90"/>
        <v>16.59670963415395</v>
      </c>
      <c r="X133" s="82">
        <f t="shared" si="90"/>
        <v>17.843215688399617</v>
      </c>
      <c r="Y133" s="82">
        <f>(Проверка!Q117-Y129)/RADIANS($F$12)*Y29</f>
        <v>19.139414649937375</v>
      </c>
      <c r="Z133" s="82">
        <f>Y133</f>
        <v>19.139414649937375</v>
      </c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</row>
    <row r="134" spans="1:256" s="80" customFormat="1" ht="13.5" customHeight="1">
      <c r="A134" s="24" t="s">
        <v>122</v>
      </c>
      <c r="B134" s="127">
        <f aca="true" t="shared" si="91" ref="B134:Y134">B130*B44+B131*B45+B132*B29</f>
        <v>0</v>
      </c>
      <c r="C134" s="82">
        <f t="shared" si="91"/>
        <v>0.5197959999999997</v>
      </c>
      <c r="D134" s="82">
        <f t="shared" si="91"/>
        <v>1.0423136454916064</v>
      </c>
      <c r="E134" s="82">
        <f t="shared" si="91"/>
        <v>1.5716354047122463</v>
      </c>
      <c r="F134" s="82">
        <f t="shared" si="91"/>
        <v>2.1118011060228317</v>
      </c>
      <c r="G134" s="82">
        <f t="shared" si="91"/>
        <v>2.6667557456724627</v>
      </c>
      <c r="H134" s="82">
        <f t="shared" si="91"/>
        <v>3.2403010334288607</v>
      </c>
      <c r="I134" s="82">
        <f t="shared" si="91"/>
        <v>3.836053174786776</v>
      </c>
      <c r="J134" s="82">
        <f t="shared" si="91"/>
        <v>4.457408793933613</v>
      </c>
      <c r="K134" s="82">
        <f t="shared" si="91"/>
        <v>5.107520130155924</v>
      </c>
      <c r="L134" s="82">
        <f t="shared" si="91"/>
        <v>5.789279815938456</v>
      </c>
      <c r="M134" s="82">
        <f t="shared" si="91"/>
        <v>6.505314788779149</v>
      </c>
      <c r="N134" s="82">
        <f t="shared" si="91"/>
        <v>7.257988293178016</v>
      </c>
      <c r="O134" s="82">
        <f t="shared" si="91"/>
        <v>8.049408543595833</v>
      </c>
      <c r="P134" s="82">
        <f t="shared" si="91"/>
        <v>8.881442448339591</v>
      </c>
      <c r="Q134" s="82">
        <f t="shared" si="91"/>
        <v>9.755732808548482</v>
      </c>
      <c r="R134" s="82">
        <f t="shared" si="91"/>
        <v>10.67371755617444</v>
      </c>
      <c r="S134" s="82">
        <f t="shared" si="91"/>
        <v>11.636649825473189</v>
      </c>
      <c r="T134" s="82">
        <f t="shared" si="91"/>
        <v>12.64561791534607</v>
      </c>
      <c r="U134" s="82">
        <f t="shared" si="91"/>
        <v>13.7015644580271</v>
      </c>
      <c r="V134" s="82">
        <f t="shared" si="91"/>
        <v>14.805304339522424</v>
      </c>
      <c r="W134" s="82">
        <f t="shared" si="91"/>
        <v>15.957541107099004</v>
      </c>
      <c r="X134" s="82">
        <f t="shared" si="91"/>
        <v>17.158881746076982</v>
      </c>
      <c r="Y134" s="82">
        <f t="shared" si="91"/>
        <v>18.409849815006986</v>
      </c>
      <c r="Z134" s="82">
        <f>Z130*Z44+Z131*Z45+Z132*Z29</f>
        <v>19.710897000846238</v>
      </c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2"/>
      <c r="GK134" s="82"/>
      <c r="GL134" s="82"/>
      <c r="GM134" s="82"/>
      <c r="GN134" s="82"/>
      <c r="GO134" s="82"/>
      <c r="GP134" s="82"/>
      <c r="GQ134" s="82"/>
      <c r="GR134" s="82"/>
      <c r="GS134" s="82"/>
      <c r="GT134" s="82"/>
      <c r="GU134" s="82"/>
      <c r="GV134" s="82"/>
      <c r="GW134" s="82"/>
      <c r="GX134" s="82"/>
      <c r="GY134" s="82"/>
      <c r="GZ134" s="82"/>
      <c r="HA134" s="82"/>
      <c r="HB134" s="82"/>
      <c r="HC134" s="82"/>
      <c r="HD134" s="82"/>
      <c r="HE134" s="82"/>
      <c r="HF134" s="82"/>
      <c r="HG134" s="82"/>
      <c r="HH134" s="82"/>
      <c r="HI134" s="82"/>
      <c r="HJ134" s="82"/>
      <c r="HK134" s="82"/>
      <c r="HL134" s="82"/>
      <c r="HM134" s="82"/>
      <c r="HN134" s="82"/>
      <c r="HO134" s="82"/>
      <c r="HP134" s="82"/>
      <c r="HQ134" s="82"/>
      <c r="HR134" s="82"/>
      <c r="HS134" s="82"/>
      <c r="HT134" s="82"/>
      <c r="HU134" s="82"/>
      <c r="HV134" s="82"/>
      <c r="HW134" s="82"/>
      <c r="HX134" s="82"/>
      <c r="HY134" s="82"/>
      <c r="HZ134" s="82"/>
      <c r="IA134" s="82"/>
      <c r="IB134" s="82"/>
      <c r="IC134" s="82"/>
      <c r="ID134" s="82"/>
      <c r="IE134" s="82"/>
      <c r="IF134" s="82"/>
      <c r="IG134" s="82"/>
      <c r="IH134" s="82"/>
      <c r="II134" s="82"/>
      <c r="IJ134" s="82"/>
      <c r="IK134" s="82"/>
      <c r="IL134" s="82"/>
      <c r="IM134" s="82"/>
      <c r="IN134" s="82"/>
      <c r="IO134" s="82"/>
      <c r="IP134" s="82"/>
      <c r="IQ134" s="82"/>
      <c r="IR134" s="82"/>
      <c r="IS134" s="82"/>
      <c r="IT134" s="82"/>
      <c r="IU134" s="82"/>
      <c r="IV134" s="82"/>
    </row>
    <row r="135" spans="1:256" s="85" customFormat="1" ht="13.5" customHeight="1" thickBot="1">
      <c r="A135" s="25" t="s">
        <v>123</v>
      </c>
      <c r="B135" s="128">
        <f aca="true" t="shared" si="92" ref="B135:Y135">B134+$D$6*$F$13*B45</f>
        <v>70.0434</v>
      </c>
      <c r="C135" s="84">
        <f t="shared" si="92"/>
        <v>68.17652502109573</v>
      </c>
      <c r="D135" s="84">
        <f t="shared" si="92"/>
        <v>61.86048325591256</v>
      </c>
      <c r="E135" s="84">
        <f t="shared" si="92"/>
        <v>51.48879180556233</v>
      </c>
      <c r="F135" s="84">
        <f t="shared" si="92"/>
        <v>37.68290245866879</v>
      </c>
      <c r="G135" s="84">
        <f t="shared" si="92"/>
        <v>21.26807521892129</v>
      </c>
      <c r="H135" s="84">
        <f t="shared" si="92"/>
        <v>3.240301033428865</v>
      </c>
      <c r="I135" s="84">
        <f t="shared" si="92"/>
        <v>-15.276429081809969</v>
      </c>
      <c r="J135" s="84">
        <f t="shared" si="92"/>
        <v>-33.08280735781264</v>
      </c>
      <c r="K135" s="84">
        <f t="shared" si="92"/>
        <v>-48.96627679777806</v>
      </c>
      <c r="L135" s="84">
        <f t="shared" si="92"/>
        <v>-61.77069184726783</v>
      </c>
      <c r="M135" s="84">
        <f t="shared" si="92"/>
        <v>-70.47039383910872</v>
      </c>
      <c r="N135" s="84">
        <f t="shared" si="92"/>
        <v>-74.24420635215482</v>
      </c>
      <c r="O135" s="84">
        <f t="shared" si="92"/>
        <v>-72.54384381134518</v>
      </c>
      <c r="P135" s="84">
        <f t="shared" si="92"/>
        <v>-65.15071195912702</v>
      </c>
      <c r="Q135" s="84">
        <f t="shared" si="92"/>
        <v>-52.2151847400267</v>
      </c>
      <c r="R135" s="84">
        <f t="shared" si="92"/>
        <v>-34.273210437821604</v>
      </c>
      <c r="S135" s="84">
        <f t="shared" si="92"/>
        <v>-12.236491046960055</v>
      </c>
      <c r="T135" s="84">
        <f t="shared" si="92"/>
        <v>12.645617915346053</v>
      </c>
      <c r="U135" s="84">
        <f t="shared" si="92"/>
        <v>38.8520905410939</v>
      </c>
      <c r="V135" s="84">
        <f t="shared" si="92"/>
        <v>64.681306366034</v>
      </c>
      <c r="W135" s="84">
        <f t="shared" si="92"/>
        <v>88.36210887932818</v>
      </c>
      <c r="X135" s="84">
        <f t="shared" si="92"/>
        <v>108.17770536129265</v>
      </c>
      <c r="Y135" s="84">
        <f t="shared" si="92"/>
        <v>122.5937169519303</v>
      </c>
      <c r="Z135" s="84">
        <f>Z134+$D$6*$F$13*Z45</f>
        <v>130.38077542342876</v>
      </c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</row>
    <row r="136" spans="1:182" s="86" customFormat="1" ht="13.5" customHeight="1" thickBot="1">
      <c r="A136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</row>
    <row r="137" spans="1:256" s="79" customFormat="1" ht="12.75">
      <c r="A137" s="22" t="s">
        <v>124</v>
      </c>
      <c r="B137" s="87">
        <f aca="true" t="shared" si="93" ref="B137:Y137">1/2*$D$7*(B78^2+B79^2)+1/2*$D$15*B60^2</f>
        <v>51.56428905839354</v>
      </c>
      <c r="C137" s="88">
        <f t="shared" si="93"/>
        <v>32.50300337836344</v>
      </c>
      <c r="D137" s="88">
        <f t="shared" si="93"/>
        <v>28.955109998897104</v>
      </c>
      <c r="E137" s="88">
        <f t="shared" si="93"/>
        <v>35.8436215806965</v>
      </c>
      <c r="F137" s="88">
        <f t="shared" si="93"/>
        <v>48.75610948095683</v>
      </c>
      <c r="G137" s="88">
        <f t="shared" si="93"/>
        <v>64.41391137225632</v>
      </c>
      <c r="H137" s="88">
        <f t="shared" si="93"/>
        <v>80.39514292377703</v>
      </c>
      <c r="I137" s="88">
        <f t="shared" si="93"/>
        <v>94.807484706682</v>
      </c>
      <c r="J137" s="88">
        <f t="shared" si="93"/>
        <v>106.10079110923873</v>
      </c>
      <c r="K137" s="88">
        <f t="shared" si="93"/>
        <v>113.02317558410957</v>
      </c>
      <c r="L137" s="88">
        <f t="shared" si="93"/>
        <v>114.66636341680562</v>
      </c>
      <c r="M137" s="88">
        <f t="shared" si="93"/>
        <v>110.54997361595974</v>
      </c>
      <c r="N137" s="88">
        <f t="shared" si="93"/>
        <v>100.75087979282367</v>
      </c>
      <c r="O137" s="88">
        <f t="shared" si="93"/>
        <v>86.17896062334447</v>
      </c>
      <c r="P137" s="88">
        <f t="shared" si="93"/>
        <v>69.20133885759587</v>
      </c>
      <c r="Q137" s="88">
        <f t="shared" si="93"/>
        <v>54.86161527124803</v>
      </c>
      <c r="R137" s="88">
        <f t="shared" si="93"/>
        <v>52.67945556876924</v>
      </c>
      <c r="S137" s="88">
        <f t="shared" si="93"/>
        <v>77.58686056843598</v>
      </c>
      <c r="T137" s="88">
        <f t="shared" si="93"/>
        <v>144.6216970855154</v>
      </c>
      <c r="U137" s="88">
        <f t="shared" si="93"/>
        <v>249.3322039565638</v>
      </c>
      <c r="V137" s="88">
        <f t="shared" si="93"/>
        <v>345.2278656377252</v>
      </c>
      <c r="W137" s="88">
        <f t="shared" si="93"/>
        <v>368.4174273629471</v>
      </c>
      <c r="X137" s="88">
        <f t="shared" si="93"/>
        <v>307.06112363703335</v>
      </c>
      <c r="Y137" s="88">
        <f t="shared" si="93"/>
        <v>209.97737699330597</v>
      </c>
      <c r="Z137" s="88">
        <f>1/2*$D$7*(Z78^2+Z79^2)+1/2*$D$15*Z60^2</f>
        <v>128.72813037639855</v>
      </c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  <c r="IU137" s="88"/>
      <c r="IV137" s="88"/>
    </row>
    <row r="138" spans="1:256" s="80" customFormat="1" ht="15.75">
      <c r="A138" s="26" t="s">
        <v>125</v>
      </c>
      <c r="B138" s="81">
        <f aca="true" t="shared" si="94" ref="B138:Y138">$D$7*B80</f>
        <v>-24.28313434842998</v>
      </c>
      <c r="C138" s="82">
        <f t="shared" si="94"/>
        <v>-22.864067899478524</v>
      </c>
      <c r="D138" s="82">
        <f t="shared" si="94"/>
        <v>-20.489468610915637</v>
      </c>
      <c r="E138" s="82">
        <f t="shared" si="94"/>
        <v>-17.685832928323247</v>
      </c>
      <c r="F138" s="82">
        <f t="shared" si="94"/>
        <v>-14.638935955856212</v>
      </c>
      <c r="G138" s="82">
        <f t="shared" si="94"/>
        <v>-11.407136463813078</v>
      </c>
      <c r="H138" s="82">
        <f t="shared" si="94"/>
        <v>-7.998968820629576</v>
      </c>
      <c r="I138" s="82">
        <f t="shared" si="94"/>
        <v>-4.387407272241141</v>
      </c>
      <c r="J138" s="82">
        <f t="shared" si="94"/>
        <v>-0.5177642513810095</v>
      </c>
      <c r="K138" s="82">
        <f t="shared" si="94"/>
        <v>3.6605544027938812</v>
      </c>
      <c r="L138" s="82">
        <f t="shared" si="94"/>
        <v>8.143221753613252</v>
      </c>
      <c r="M138" s="82">
        <f t="shared" si="94"/>
        <v>12.833635701699396</v>
      </c>
      <c r="N138" s="82">
        <f t="shared" si="94"/>
        <v>17.547971866098433</v>
      </c>
      <c r="O138" s="82">
        <f t="shared" si="94"/>
        <v>22.06535196755818</v>
      </c>
      <c r="P138" s="82">
        <f t="shared" si="94"/>
        <v>26.206520972247016</v>
      </c>
      <c r="Q138" s="82">
        <f t="shared" si="94"/>
        <v>29.911809528037764</v>
      </c>
      <c r="R138" s="82">
        <f t="shared" si="94"/>
        <v>33.23546126106918</v>
      </c>
      <c r="S138" s="82">
        <f t="shared" si="94"/>
        <v>36.00366486219147</v>
      </c>
      <c r="T138" s="82">
        <f t="shared" si="94"/>
        <v>36.70329303046345</v>
      </c>
      <c r="U138" s="82">
        <f t="shared" si="94"/>
        <v>31.081075984126922</v>
      </c>
      <c r="V138" s="82">
        <f t="shared" si="94"/>
        <v>14.27429304158263</v>
      </c>
      <c r="W138" s="82">
        <f t="shared" si="94"/>
        <v>-11.510755170659417</v>
      </c>
      <c r="X138" s="82">
        <f t="shared" si="94"/>
        <v>-35.99729902532806</v>
      </c>
      <c r="Y138" s="82">
        <f t="shared" si="94"/>
        <v>-51.653861042289506</v>
      </c>
      <c r="Z138" s="82">
        <f>$D$7*Z80</f>
        <v>-58.472928717418746</v>
      </c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2"/>
      <c r="GK138" s="82"/>
      <c r="GL138" s="82"/>
      <c r="GM138" s="82"/>
      <c r="GN138" s="82"/>
      <c r="GO138" s="82"/>
      <c r="GP138" s="82"/>
      <c r="GQ138" s="82"/>
      <c r="GR138" s="82"/>
      <c r="GS138" s="82"/>
      <c r="GT138" s="82"/>
      <c r="GU138" s="82"/>
      <c r="GV138" s="82"/>
      <c r="GW138" s="82"/>
      <c r="GX138" s="82"/>
      <c r="GY138" s="82"/>
      <c r="GZ138" s="82"/>
      <c r="HA138" s="82"/>
      <c r="HB138" s="82"/>
      <c r="HC138" s="82"/>
      <c r="HD138" s="82"/>
      <c r="HE138" s="82"/>
      <c r="HF138" s="82"/>
      <c r="HG138" s="82"/>
      <c r="HH138" s="82"/>
      <c r="HI138" s="82"/>
      <c r="HJ138" s="82"/>
      <c r="HK138" s="82"/>
      <c r="HL138" s="82"/>
      <c r="HM138" s="82"/>
      <c r="HN138" s="82"/>
      <c r="HO138" s="82"/>
      <c r="HP138" s="82"/>
      <c r="HQ138" s="82"/>
      <c r="HR138" s="82"/>
      <c r="HS138" s="82"/>
      <c r="HT138" s="82"/>
      <c r="HU138" s="82"/>
      <c r="HV138" s="82"/>
      <c r="HW138" s="82"/>
      <c r="HX138" s="82"/>
      <c r="HY138" s="82"/>
      <c r="HZ138" s="82"/>
      <c r="IA138" s="82"/>
      <c r="IB138" s="82"/>
      <c r="IC138" s="82"/>
      <c r="ID138" s="82"/>
      <c r="IE138" s="82"/>
      <c r="IF138" s="82"/>
      <c r="IG138" s="82"/>
      <c r="IH138" s="82"/>
      <c r="II138" s="82"/>
      <c r="IJ138" s="82"/>
      <c r="IK138" s="82"/>
      <c r="IL138" s="82"/>
      <c r="IM138" s="82"/>
      <c r="IN138" s="82"/>
      <c r="IO138" s="82"/>
      <c r="IP138" s="82"/>
      <c r="IQ138" s="82"/>
      <c r="IR138" s="82"/>
      <c r="IS138" s="82"/>
      <c r="IT138" s="82"/>
      <c r="IU138" s="82"/>
      <c r="IV138" s="82"/>
    </row>
    <row r="139" spans="1:256" s="80" customFormat="1" ht="15.75">
      <c r="A139" s="26" t="s">
        <v>126</v>
      </c>
      <c r="B139" s="81">
        <f aca="true" t="shared" si="95" ref="B139:Y139">$D$7*B81</f>
        <v>0.27001286700731075</v>
      </c>
      <c r="C139" s="82">
        <f t="shared" si="95"/>
        <v>-1.493818426077158</v>
      </c>
      <c r="D139" s="82">
        <f t="shared" si="95"/>
        <v>-3.899995315848162</v>
      </c>
      <c r="E139" s="82">
        <f t="shared" si="95"/>
        <v>-6.457655211414244</v>
      </c>
      <c r="F139" s="82">
        <f t="shared" si="95"/>
        <v>-8.807423511152264</v>
      </c>
      <c r="G139" s="82">
        <f t="shared" si="95"/>
        <v>-10.747074138495966</v>
      </c>
      <c r="H139" s="82">
        <f t="shared" si="95"/>
        <v>-12.195317359880484</v>
      </c>
      <c r="I139" s="82">
        <f t="shared" si="95"/>
        <v>-13.1375220769003</v>
      </c>
      <c r="J139" s="82">
        <f t="shared" si="95"/>
        <v>-13.554780428018393</v>
      </c>
      <c r="K139" s="82">
        <f t="shared" si="95"/>
        <v>-13.352794184843702</v>
      </c>
      <c r="L139" s="82">
        <f t="shared" si="95"/>
        <v>-12.328877337166608</v>
      </c>
      <c r="M139" s="82">
        <f t="shared" si="95"/>
        <v>-10.200678947477389</v>
      </c>
      <c r="N139" s="82">
        <f t="shared" si="95"/>
        <v>-6.6774732125813685</v>
      </c>
      <c r="O139" s="82">
        <f t="shared" si="95"/>
        <v>-1.5366683596046782</v>
      </c>
      <c r="P139" s="82">
        <f t="shared" si="95"/>
        <v>5.301801214466927</v>
      </c>
      <c r="Q139" s="82">
        <f t="shared" si="95"/>
        <v>13.652060444133454</v>
      </c>
      <c r="R139" s="82">
        <f t="shared" si="95"/>
        <v>22.77400660629675</v>
      </c>
      <c r="S139" s="82">
        <f t="shared" si="95"/>
        <v>30.817195419991453</v>
      </c>
      <c r="T139" s="82">
        <f t="shared" si="95"/>
        <v>34.38372880615701</v>
      </c>
      <c r="U139" s="82">
        <f t="shared" si="95"/>
        <v>30.043259972681163</v>
      </c>
      <c r="V139" s="82">
        <f t="shared" si="95"/>
        <v>19.19511791458826</v>
      </c>
      <c r="W139" s="82">
        <f t="shared" si="95"/>
        <v>9.462828932928648</v>
      </c>
      <c r="X139" s="82">
        <f t="shared" si="95"/>
        <v>5.762854407235917</v>
      </c>
      <c r="Y139" s="82">
        <f t="shared" si="95"/>
        <v>5.231598014826721</v>
      </c>
      <c r="Z139" s="82">
        <f>$D$7*Z81</f>
        <v>3.365800905416945</v>
      </c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  <c r="GT139" s="82"/>
      <c r="GU139" s="82"/>
      <c r="GV139" s="82"/>
      <c r="GW139" s="82"/>
      <c r="GX139" s="82"/>
      <c r="GY139" s="82"/>
      <c r="GZ139" s="82"/>
      <c r="HA139" s="82"/>
      <c r="HB139" s="82"/>
      <c r="HC139" s="82"/>
      <c r="HD139" s="82"/>
      <c r="HE139" s="82"/>
      <c r="HF139" s="82"/>
      <c r="HG139" s="82"/>
      <c r="HH139" s="82"/>
      <c r="HI139" s="82"/>
      <c r="HJ139" s="82"/>
      <c r="HK139" s="82"/>
      <c r="HL139" s="82"/>
      <c r="HM139" s="82"/>
      <c r="HN139" s="82"/>
      <c r="HO139" s="82"/>
      <c r="HP139" s="82"/>
      <c r="HQ139" s="82"/>
      <c r="HR139" s="82"/>
      <c r="HS139" s="82"/>
      <c r="HT139" s="82"/>
      <c r="HU139" s="82"/>
      <c r="HV139" s="82"/>
      <c r="HW139" s="82"/>
      <c r="HX139" s="82"/>
      <c r="HY139" s="82"/>
      <c r="HZ139" s="82"/>
      <c r="IA139" s="82"/>
      <c r="IB139" s="82"/>
      <c r="IC139" s="82"/>
      <c r="ID139" s="82"/>
      <c r="IE139" s="82"/>
      <c r="IF139" s="82"/>
      <c r="IG139" s="82"/>
      <c r="IH139" s="82"/>
      <c r="II139" s="82"/>
      <c r="IJ139" s="82"/>
      <c r="IK139" s="82"/>
      <c r="IL139" s="82"/>
      <c r="IM139" s="82"/>
      <c r="IN139" s="82"/>
      <c r="IO139" s="82"/>
      <c r="IP139" s="82"/>
      <c r="IQ139" s="82"/>
      <c r="IR139" s="82"/>
      <c r="IS139" s="82"/>
      <c r="IT139" s="82"/>
      <c r="IU139" s="82"/>
      <c r="IV139" s="82"/>
    </row>
    <row r="140" spans="1:256" s="80" customFormat="1" ht="15.75">
      <c r="A140" s="26" t="s">
        <v>127</v>
      </c>
      <c r="B140" s="81">
        <f aca="true" t="shared" si="96" ref="B140:Y140">$D$15*B64</f>
        <v>0.4773051968085752</v>
      </c>
      <c r="C140" s="82">
        <f t="shared" si="96"/>
        <v>0.455839186931116</v>
      </c>
      <c r="D140" s="82">
        <f t="shared" si="96"/>
        <v>0.4219268823289769</v>
      </c>
      <c r="E140" s="82">
        <f t="shared" si="96"/>
        <v>0.39650163486158996</v>
      </c>
      <c r="F140" s="82">
        <f t="shared" si="96"/>
        <v>0.3850670701755441</v>
      </c>
      <c r="G140" s="82">
        <f t="shared" si="96"/>
        <v>0.3854055643988514</v>
      </c>
      <c r="H140" s="82">
        <f t="shared" si="96"/>
        <v>0.3910080085845853</v>
      </c>
      <c r="I140" s="82">
        <f t="shared" si="96"/>
        <v>0.39282495743955154</v>
      </c>
      <c r="J140" s="82">
        <f t="shared" si="96"/>
        <v>0.3811762428797948</v>
      </c>
      <c r="K140" s="82">
        <f t="shared" si="96"/>
        <v>0.34798479619440226</v>
      </c>
      <c r="L140" s="82">
        <f t="shared" si="96"/>
        <v>0.28802311312479684</v>
      </c>
      <c r="M140" s="82">
        <f t="shared" si="96"/>
        <v>0.1979565434671339</v>
      </c>
      <c r="N140" s="82">
        <f t="shared" si="96"/>
        <v>0.07356227491236288</v>
      </c>
      <c r="O140" s="82">
        <f t="shared" si="96"/>
        <v>-0.09327724240974954</v>
      </c>
      <c r="P140" s="82">
        <f t="shared" si="96"/>
        <v>-0.31611398600438084</v>
      </c>
      <c r="Q140" s="82">
        <f t="shared" si="96"/>
        <v>-0.6116810671395374</v>
      </c>
      <c r="R140" s="82">
        <f t="shared" si="96"/>
        <v>-0.9881360083780879</v>
      </c>
      <c r="S140" s="82">
        <f t="shared" si="96"/>
        <v>-1.4126526100535277</v>
      </c>
      <c r="T140" s="82">
        <f t="shared" si="96"/>
        <v>-1.7548965874340157</v>
      </c>
      <c r="U140" s="82">
        <f t="shared" si="96"/>
        <v>-1.7681518849681908</v>
      </c>
      <c r="V140" s="82">
        <f t="shared" si="96"/>
        <v>-1.2622083051981252</v>
      </c>
      <c r="W140" s="82">
        <f t="shared" si="96"/>
        <v>-0.39803572559758504</v>
      </c>
      <c r="X140" s="82">
        <f t="shared" si="96"/>
        <v>0.40158990145545564</v>
      </c>
      <c r="Y140" s="82">
        <f t="shared" si="96"/>
        <v>0.8832035051117928</v>
      </c>
      <c r="Z140" s="82">
        <f>$D$15*Z64</f>
        <v>1.0780735769341891</v>
      </c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82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2"/>
      <c r="IB140" s="82"/>
      <c r="IC140" s="82"/>
      <c r="ID140" s="82"/>
      <c r="IE140" s="82"/>
      <c r="IF140" s="82"/>
      <c r="IG140" s="82"/>
      <c r="IH140" s="82"/>
      <c r="II140" s="82"/>
      <c r="IJ140" s="82"/>
      <c r="IK140" s="82"/>
      <c r="IL140" s="82"/>
      <c r="IM140" s="82"/>
      <c r="IN140" s="82"/>
      <c r="IO140" s="82"/>
      <c r="IP140" s="82"/>
      <c r="IQ140" s="82"/>
      <c r="IR140" s="82"/>
      <c r="IS140" s="82"/>
      <c r="IT140" s="82"/>
      <c r="IU140" s="82"/>
      <c r="IV140" s="82"/>
    </row>
    <row r="141" spans="1:256" s="80" customFormat="1" ht="12.75">
      <c r="A141" s="24" t="s">
        <v>128</v>
      </c>
      <c r="B141" s="81">
        <f aca="true" t="shared" si="97" ref="B141:X141">(C137-B137)/RADIANS($F$12)*B29</f>
        <v>-72.80874810392523</v>
      </c>
      <c r="C141" s="82">
        <f t="shared" si="97"/>
        <v>-13.55195445372184</v>
      </c>
      <c r="D141" s="82">
        <f t="shared" si="97"/>
        <v>26.381061166757473</v>
      </c>
      <c r="E141" s="82">
        <f t="shared" si="97"/>
        <v>49.7094452835851</v>
      </c>
      <c r="F141" s="82">
        <f t="shared" si="97"/>
        <v>60.74663921858758</v>
      </c>
      <c r="G141" s="82">
        <f t="shared" si="97"/>
        <v>62.63569769734513</v>
      </c>
      <c r="H141" s="82">
        <f t="shared" si="97"/>
        <v>57.196190218084425</v>
      </c>
      <c r="I141" s="82">
        <f t="shared" si="97"/>
        <v>45.4784997982519</v>
      </c>
      <c r="J141" s="82">
        <f t="shared" si="97"/>
        <v>28.34305342890007</v>
      </c>
      <c r="K141" s="82">
        <f t="shared" si="97"/>
        <v>6.852566017300555</v>
      </c>
      <c r="L141" s="82">
        <f t="shared" si="97"/>
        <v>-17.512150250313486</v>
      </c>
      <c r="M141" s="82">
        <f t="shared" si="97"/>
        <v>-42.58532712241815</v>
      </c>
      <c r="N141" s="82">
        <f t="shared" si="97"/>
        <v>-64.76646760651</v>
      </c>
      <c r="O141" s="82">
        <f t="shared" si="97"/>
        <v>-77.24954181775989</v>
      </c>
      <c r="P141" s="82">
        <f t="shared" si="97"/>
        <v>-66.84896542493452</v>
      </c>
      <c r="Q141" s="82">
        <f t="shared" si="97"/>
        <v>-10.429262771902344</v>
      </c>
      <c r="R141" s="82">
        <f t="shared" si="97"/>
        <v>122.10196315213645</v>
      </c>
      <c r="S141" s="82">
        <f t="shared" si="97"/>
        <v>337.1926030268392</v>
      </c>
      <c r="T141" s="82">
        <f t="shared" si="97"/>
        <v>540.5753678941252</v>
      </c>
      <c r="U141" s="82">
        <f t="shared" si="97"/>
        <v>508.17577428241873</v>
      </c>
      <c r="V141" s="82">
        <f t="shared" si="97"/>
        <v>126.14740600881407</v>
      </c>
      <c r="W141" s="82">
        <f t="shared" si="97"/>
        <v>-342.61336942933866</v>
      </c>
      <c r="X141" s="82">
        <f t="shared" si="97"/>
        <v>-556.4309376480882</v>
      </c>
      <c r="Y141" s="82">
        <f>(Проверка!Q125-Y137)/RADIANS($F$12)*Y29</f>
        <v>-477.90347944681037</v>
      </c>
      <c r="Z141" s="82">
        <f>Y141</f>
        <v>-477.90347944681037</v>
      </c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2"/>
      <c r="GU141" s="82"/>
      <c r="GV141" s="82"/>
      <c r="GW141" s="82"/>
      <c r="GX141" s="82"/>
      <c r="GY141" s="82"/>
      <c r="GZ141" s="82"/>
      <c r="HA141" s="82"/>
      <c r="HB141" s="82"/>
      <c r="HC141" s="82"/>
      <c r="HD141" s="82"/>
      <c r="HE141" s="82"/>
      <c r="HF141" s="82"/>
      <c r="HG141" s="82"/>
      <c r="HH141" s="82"/>
      <c r="HI141" s="82"/>
      <c r="HJ141" s="82"/>
      <c r="HK141" s="82"/>
      <c r="HL141" s="82"/>
      <c r="HM141" s="82"/>
      <c r="HN141" s="82"/>
      <c r="HO141" s="82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2"/>
      <c r="IB141" s="82"/>
      <c r="IC141" s="82"/>
      <c r="ID141" s="82"/>
      <c r="IE141" s="82"/>
      <c r="IF141" s="82"/>
      <c r="IG141" s="82"/>
      <c r="IH141" s="82"/>
      <c r="II141" s="82"/>
      <c r="IJ141" s="82"/>
      <c r="IK141" s="82"/>
      <c r="IL141" s="82"/>
      <c r="IM141" s="82"/>
      <c r="IN141" s="82"/>
      <c r="IO141" s="82"/>
      <c r="IP141" s="82"/>
      <c r="IQ141" s="82"/>
      <c r="IR141" s="82"/>
      <c r="IS141" s="82"/>
      <c r="IT141" s="82"/>
      <c r="IU141" s="82"/>
      <c r="IV141" s="82"/>
    </row>
    <row r="142" spans="1:182" s="80" customFormat="1" ht="12.75">
      <c r="A142" s="24" t="s">
        <v>129</v>
      </c>
      <c r="B142" s="81">
        <f aca="true" t="shared" si="98" ref="B142:Y142">B138*B78+(B139)*B79+B140*B60</f>
        <v>-107.34983891995267</v>
      </c>
      <c r="C142" s="82">
        <f t="shared" si="98"/>
        <v>-39.721567680424336</v>
      </c>
      <c r="D142" s="82">
        <f t="shared" si="98"/>
        <v>9.86366476820272</v>
      </c>
      <c r="E142" s="82">
        <f t="shared" si="98"/>
        <v>40.90713457381926</v>
      </c>
      <c r="F142" s="82">
        <f t="shared" si="98"/>
        <v>57.658888916220654</v>
      </c>
      <c r="G142" s="82">
        <f t="shared" si="98"/>
        <v>63.92045377130232</v>
      </c>
      <c r="H142" s="82">
        <f t="shared" si="98"/>
        <v>62.051832264160744</v>
      </c>
      <c r="I142" s="82">
        <f t="shared" si="98"/>
        <v>53.34746316237793</v>
      </c>
      <c r="J142" s="82">
        <f t="shared" si="98"/>
        <v>38.661145037623356</v>
      </c>
      <c r="K142" s="82">
        <f t="shared" si="98"/>
        <v>18.90782105444131</v>
      </c>
      <c r="L142" s="82">
        <f t="shared" si="98"/>
        <v>-4.650670706935783</v>
      </c>
      <c r="M142" s="82">
        <f t="shared" si="98"/>
        <v>-30.221689341706874</v>
      </c>
      <c r="N142" s="82">
        <f t="shared" si="98"/>
        <v>-55.05638672473905</v>
      </c>
      <c r="O142" s="82">
        <f t="shared" si="98"/>
        <v>-74.26791833289704</v>
      </c>
      <c r="P142" s="82">
        <f t="shared" si="98"/>
        <v>-78.34996095413878</v>
      </c>
      <c r="Q142" s="82">
        <f t="shared" si="98"/>
        <v>-49.33367300120496</v>
      </c>
      <c r="R142" s="82">
        <f t="shared" si="98"/>
        <v>41.58147952128774</v>
      </c>
      <c r="S142" s="82">
        <f t="shared" si="98"/>
        <v>221.924368864833</v>
      </c>
      <c r="T142" s="82">
        <f t="shared" si="98"/>
        <v>462.70537380073165</v>
      </c>
      <c r="U142" s="82">
        <f t="shared" si="98"/>
        <v>590.6451127808882</v>
      </c>
      <c r="V142" s="82">
        <f t="shared" si="98"/>
        <v>368.2784341776471</v>
      </c>
      <c r="W142" s="82">
        <f t="shared" si="98"/>
        <v>-133.8974302528528</v>
      </c>
      <c r="X142" s="82">
        <f t="shared" si="98"/>
        <v>-514.8990019401863</v>
      </c>
      <c r="Y142" s="82">
        <f t="shared" si="98"/>
        <v>-562.6562398535215</v>
      </c>
      <c r="Z142" s="82">
        <f>Z138*Z78+(Z139)*Z79+Z140*Z60</f>
        <v>-384.3294347969795</v>
      </c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</row>
    <row r="143" spans="1:256" s="85" customFormat="1" ht="13.5" thickBot="1">
      <c r="A143" s="25" t="s">
        <v>130</v>
      </c>
      <c r="B143" s="83">
        <f aca="true" t="shared" si="99" ref="B143:Y143">B142+$D$7*$F$13*B79</f>
        <v>2.6744151334912942</v>
      </c>
      <c r="C143" s="84">
        <f t="shared" si="99"/>
        <v>68.77845771045676</v>
      </c>
      <c r="D143" s="84">
        <f t="shared" si="99"/>
        <v>111.39057257153613</v>
      </c>
      <c r="E143" s="84">
        <f t="shared" si="99"/>
        <v>129.06912487531633</v>
      </c>
      <c r="F143" s="84">
        <f t="shared" si="99"/>
        <v>126.27983619824931</v>
      </c>
      <c r="G143" s="84">
        <f t="shared" si="99"/>
        <v>107.78120371161636</v>
      </c>
      <c r="H143" s="84">
        <f t="shared" si="99"/>
        <v>77.2418044146751</v>
      </c>
      <c r="I143" s="84">
        <f t="shared" si="99"/>
        <v>37.3483759419966</v>
      </c>
      <c r="J143" s="84">
        <f t="shared" si="99"/>
        <v>-9.671638042142874</v>
      </c>
      <c r="K143" s="84">
        <f t="shared" si="99"/>
        <v>-61.467705592727185</v>
      </c>
      <c r="L143" s="84">
        <f t="shared" si="99"/>
        <v>-115.07683716626741</v>
      </c>
      <c r="M143" s="84">
        <f t="shared" si="99"/>
        <v>-166.55087895360433</v>
      </c>
      <c r="N143" s="84">
        <f t="shared" si="99"/>
        <v>-210.48390180907967</v>
      </c>
      <c r="O143" s="84">
        <f t="shared" si="99"/>
        <v>-238.96024511585006</v>
      </c>
      <c r="P143" s="84">
        <f t="shared" si="99"/>
        <v>-239.34971759001263</v>
      </c>
      <c r="Q143" s="84">
        <f t="shared" si="99"/>
        <v>-190.90074426254125</v>
      </c>
      <c r="R143" s="84">
        <f t="shared" si="99"/>
        <v>-63.14461313656074</v>
      </c>
      <c r="S143" s="84">
        <f t="shared" si="99"/>
        <v>170.4993840176338</v>
      </c>
      <c r="T143" s="84">
        <f t="shared" si="99"/>
        <v>475.0692060929704</v>
      </c>
      <c r="U143" s="84">
        <f t="shared" si="99"/>
        <v>664.8059131346281</v>
      </c>
      <c r="V143" s="84">
        <f t="shared" si="99"/>
        <v>488.00622291156077</v>
      </c>
      <c r="W143" s="84">
        <f t="shared" si="99"/>
        <v>10.668604594204425</v>
      </c>
      <c r="X143" s="84">
        <f t="shared" si="99"/>
        <v>-357.87528619085435</v>
      </c>
      <c r="Y143" s="84">
        <f t="shared" si="99"/>
        <v>-396.34877156570576</v>
      </c>
      <c r="Z143" s="84">
        <f>Z142+$D$7*$F$13*Z79</f>
        <v>-210.4890612624284</v>
      </c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</row>
    <row r="144" s="86" customFormat="1" ht="13.5" thickBot="1">
      <c r="A144"/>
    </row>
    <row r="145" spans="1:256" s="79" customFormat="1" ht="12.75">
      <c r="A145" s="22" t="s">
        <v>131</v>
      </c>
      <c r="B145" s="126">
        <f>$D$8*(B94^2+B95^2)/2+$F$15*(B61^2)/2</f>
        <v>1.5277729356558554</v>
      </c>
      <c r="C145" s="126">
        <f>$D$8*(C94^2+C95^2)/2+$F$15*(C61^2)/2</f>
        <v>14.800858649772486</v>
      </c>
      <c r="D145" s="126">
        <f>$D$8*(D94^2+D95^2)/2+$F$15*(D61^2)/2</f>
        <v>32.947189655108645</v>
      </c>
      <c r="E145" s="88">
        <f aca="true" t="shared" si="100" ref="E145:Y145">$D$8*(E94^2+E95^2)/2+$F$15*E61^2/2</f>
        <v>48.67945885715298</v>
      </c>
      <c r="F145" s="88">
        <f t="shared" si="100"/>
        <v>58.464951315227275</v>
      </c>
      <c r="G145" s="88">
        <f t="shared" si="100"/>
        <v>61.27241555788678</v>
      </c>
      <c r="H145" s="88">
        <f t="shared" si="100"/>
        <v>57.63138509262466</v>
      </c>
      <c r="I145" s="88">
        <f t="shared" si="100"/>
        <v>49.08108691130463</v>
      </c>
      <c r="J145" s="88">
        <f t="shared" si="100"/>
        <v>37.72771405269471</v>
      </c>
      <c r="K145" s="88">
        <f t="shared" si="100"/>
        <v>25.749208974296145</v>
      </c>
      <c r="L145" s="88">
        <f t="shared" si="100"/>
        <v>14.94207233352094</v>
      </c>
      <c r="M145" s="88">
        <f t="shared" si="100"/>
        <v>6.527156336153896</v>
      </c>
      <c r="N145" s="88">
        <f t="shared" si="100"/>
        <v>1.3149718771594543</v>
      </c>
      <c r="O145" s="88">
        <f t="shared" si="100"/>
        <v>0.15426443764405645</v>
      </c>
      <c r="P145" s="88">
        <f t="shared" si="100"/>
        <v>4.549714686625556</v>
      </c>
      <c r="Q145" s="88">
        <f t="shared" si="100"/>
        <v>17.369400866386254</v>
      </c>
      <c r="R145" s="88">
        <f t="shared" si="100"/>
        <v>43.32632364062349</v>
      </c>
      <c r="S145" s="88">
        <f t="shared" si="100"/>
        <v>87.77248773731792</v>
      </c>
      <c r="T145" s="88">
        <f t="shared" si="100"/>
        <v>150.02439020867556</v>
      </c>
      <c r="U145" s="88">
        <f t="shared" si="100"/>
        <v>209.18400164354864</v>
      </c>
      <c r="V145" s="88">
        <f t="shared" si="100"/>
        <v>221.24241424107856</v>
      </c>
      <c r="W145" s="88">
        <f t="shared" si="100"/>
        <v>161.88036533383286</v>
      </c>
      <c r="X145" s="88">
        <f t="shared" si="100"/>
        <v>70.58630951140289</v>
      </c>
      <c r="Y145" s="88">
        <f t="shared" si="100"/>
        <v>9.807035048345284</v>
      </c>
      <c r="Z145" s="88">
        <f>$D$8*(Z94^2+Z95^2)/2+$F$15*Z61^2/2</f>
        <v>3.814022402673388</v>
      </c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8"/>
      <c r="DV145" s="88"/>
      <c r="DW145" s="88"/>
      <c r="DX145" s="88"/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8"/>
      <c r="EO145" s="88"/>
      <c r="EP145" s="88"/>
      <c r="EQ145" s="88"/>
      <c r="ER145" s="88"/>
      <c r="ES145" s="88"/>
      <c r="ET145" s="88"/>
      <c r="EU145" s="88"/>
      <c r="EV145" s="88"/>
      <c r="EW145" s="88"/>
      <c r="EX145" s="88"/>
      <c r="EY145" s="88"/>
      <c r="EZ145" s="88"/>
      <c r="FA145" s="88"/>
      <c r="FB145" s="88"/>
      <c r="FC145" s="88"/>
      <c r="FD145" s="88"/>
      <c r="FE145" s="88"/>
      <c r="FF145" s="88"/>
      <c r="FG145" s="88"/>
      <c r="FH145" s="88"/>
      <c r="FI145" s="88"/>
      <c r="FJ145" s="88"/>
      <c r="FK145" s="88"/>
      <c r="FL145" s="88"/>
      <c r="FM145" s="88"/>
      <c r="FN145" s="88"/>
      <c r="FO145" s="88"/>
      <c r="FP145" s="88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88"/>
      <c r="GD145" s="88"/>
      <c r="GE145" s="88"/>
      <c r="GF145" s="88"/>
      <c r="GG145" s="88"/>
      <c r="GH145" s="88"/>
      <c r="GI145" s="88"/>
      <c r="GJ145" s="88"/>
      <c r="GK145" s="88"/>
      <c r="GL145" s="88"/>
      <c r="GM145" s="88"/>
      <c r="GN145" s="88"/>
      <c r="GO145" s="88"/>
      <c r="GP145" s="88"/>
      <c r="GQ145" s="88"/>
      <c r="GR145" s="88"/>
      <c r="GS145" s="88"/>
      <c r="GT145" s="88"/>
      <c r="GU145" s="88"/>
      <c r="GV145" s="88"/>
      <c r="GW145" s="88"/>
      <c r="GX145" s="88"/>
      <c r="GY145" s="88"/>
      <c r="GZ145" s="88"/>
      <c r="HA145" s="88"/>
      <c r="HB145" s="88"/>
      <c r="HC145" s="88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88"/>
      <c r="HQ145" s="88"/>
      <c r="HR145" s="88"/>
      <c r="HS145" s="88"/>
      <c r="HT145" s="88"/>
      <c r="HU145" s="88"/>
      <c r="HV145" s="88"/>
      <c r="HW145" s="88"/>
      <c r="HX145" s="88"/>
      <c r="HY145" s="88"/>
      <c r="HZ145" s="88"/>
      <c r="IA145" s="88"/>
      <c r="IB145" s="88"/>
      <c r="IC145" s="88"/>
      <c r="ID145" s="88"/>
      <c r="IE145" s="88"/>
      <c r="IF145" s="88"/>
      <c r="IG145" s="88"/>
      <c r="IH145" s="88"/>
      <c r="II145" s="88"/>
      <c r="IJ145" s="88"/>
      <c r="IK145" s="88"/>
      <c r="IL145" s="88"/>
      <c r="IM145" s="88"/>
      <c r="IN145" s="88"/>
      <c r="IO145" s="88"/>
      <c r="IP145" s="88"/>
      <c r="IQ145" s="88"/>
      <c r="IR145" s="88"/>
      <c r="IS145" s="88"/>
      <c r="IT145" s="88"/>
      <c r="IU145" s="88"/>
      <c r="IV145" s="88"/>
    </row>
    <row r="146" spans="1:182" s="80" customFormat="1" ht="15.75">
      <c r="A146" s="26" t="s">
        <v>132</v>
      </c>
      <c r="B146" s="81">
        <f aca="true" t="shared" si="101" ref="B146:Y146">$D$8*B96</f>
        <v>-12.651642833990419</v>
      </c>
      <c r="C146" s="82">
        <f t="shared" si="101"/>
        <v>-10.238817767140688</v>
      </c>
      <c r="D146" s="82">
        <f t="shared" si="101"/>
        <v>-8.022043381713793</v>
      </c>
      <c r="E146" s="82">
        <f t="shared" si="101"/>
        <v>-5.8143004611043905</v>
      </c>
      <c r="F146" s="82">
        <f t="shared" si="101"/>
        <v>-3.4951369311741223</v>
      </c>
      <c r="G146" s="82">
        <f t="shared" si="101"/>
        <v>-1.081110563039928</v>
      </c>
      <c r="H146" s="82">
        <f t="shared" si="101"/>
        <v>1.2974636202081455</v>
      </c>
      <c r="I146" s="82">
        <f t="shared" si="101"/>
        <v>3.454557748914774</v>
      </c>
      <c r="J146" s="82">
        <f t="shared" si="101"/>
        <v>5.227899325701993</v>
      </c>
      <c r="K146" s="82">
        <f t="shared" si="101"/>
        <v>6.556638042591206</v>
      </c>
      <c r="L146" s="82">
        <f t="shared" si="101"/>
        <v>7.519092017970105</v>
      </c>
      <c r="M146" s="82">
        <f t="shared" si="101"/>
        <v>8.312663886994308</v>
      </c>
      <c r="N146" s="82">
        <f t="shared" si="101"/>
        <v>9.199679222795528</v>
      </c>
      <c r="O146" s="82">
        <f t="shared" si="101"/>
        <v>10.455135364999524</v>
      </c>
      <c r="P146" s="82">
        <f t="shared" si="101"/>
        <v>12.317897539032785</v>
      </c>
      <c r="Q146" s="82">
        <f t="shared" si="101"/>
        <v>14.885563501954845</v>
      </c>
      <c r="R146" s="82">
        <f t="shared" si="101"/>
        <v>17.816955744074747</v>
      </c>
      <c r="S146" s="82">
        <f t="shared" si="101"/>
        <v>19.682848471830372</v>
      </c>
      <c r="T146" s="82">
        <f t="shared" si="101"/>
        <v>17.25908558365393</v>
      </c>
      <c r="U146" s="82">
        <f t="shared" si="101"/>
        <v>6.708881103405483</v>
      </c>
      <c r="V146" s="82">
        <f t="shared" si="101"/>
        <v>-11.10986167188773</v>
      </c>
      <c r="W146" s="82">
        <f t="shared" si="101"/>
        <v>-27.615213995998527</v>
      </c>
      <c r="X146" s="82">
        <f t="shared" si="101"/>
        <v>-35.29908190492313</v>
      </c>
      <c r="Y146" s="82">
        <f t="shared" si="101"/>
        <v>-35.220806246374075</v>
      </c>
      <c r="Z146" s="82">
        <f>$D$8*Z96</f>
        <v>-31.913669231718707</v>
      </c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  <c r="DV146" s="82"/>
      <c r="DW146" s="82"/>
      <c r="DX146" s="82"/>
      <c r="DY146" s="82"/>
      <c r="DZ146" s="82"/>
      <c r="EA146" s="82"/>
      <c r="EB146" s="82"/>
      <c r="EC146" s="82"/>
      <c r="ED146" s="82"/>
      <c r="EE146" s="82"/>
      <c r="EF146" s="82"/>
      <c r="EG146" s="82"/>
      <c r="EH146" s="82"/>
      <c r="EI146" s="82"/>
      <c r="EJ146" s="82"/>
      <c r="EK146" s="82"/>
      <c r="EL146" s="82"/>
      <c r="EM146" s="82"/>
      <c r="EN146" s="82"/>
      <c r="EO146" s="82"/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82"/>
      <c r="FG146" s="82"/>
      <c r="FH146" s="82"/>
      <c r="FI146" s="82"/>
      <c r="FJ146" s="82"/>
      <c r="FK146" s="82"/>
      <c r="FL146" s="82"/>
      <c r="FM146" s="82"/>
      <c r="FN146" s="82"/>
      <c r="FO146" s="82"/>
      <c r="FP146" s="82"/>
      <c r="FQ146" s="82"/>
      <c r="FR146" s="82"/>
      <c r="FS146" s="82"/>
      <c r="FT146" s="82"/>
      <c r="FU146" s="82"/>
      <c r="FV146" s="82"/>
      <c r="FW146" s="82"/>
      <c r="FX146" s="82"/>
      <c r="FY146" s="82"/>
      <c r="FZ146" s="82"/>
    </row>
    <row r="147" spans="1:182" s="80" customFormat="1" ht="15.75">
      <c r="A147" s="26" t="s">
        <v>133</v>
      </c>
      <c r="B147" s="81">
        <f aca="true" t="shared" si="102" ref="B147:Y147">$D$8*B97</f>
        <v>9.861445624606398</v>
      </c>
      <c r="C147" s="82">
        <f t="shared" si="102"/>
        <v>6.6096132872294735</v>
      </c>
      <c r="D147" s="82">
        <f t="shared" si="102"/>
        <v>3.181084945370676</v>
      </c>
      <c r="E147" s="82">
        <f t="shared" si="102"/>
        <v>0.25014562850066513</v>
      </c>
      <c r="F147" s="82">
        <f t="shared" si="102"/>
        <v>-1.9106861875461914</v>
      </c>
      <c r="G147" s="82">
        <f t="shared" si="102"/>
        <v>-3.2257720298860506</v>
      </c>
      <c r="H147" s="82">
        <f t="shared" si="102"/>
        <v>-3.7356841366954927</v>
      </c>
      <c r="I147" s="82">
        <f t="shared" si="102"/>
        <v>-3.5766392737289823</v>
      </c>
      <c r="J147" s="82">
        <f t="shared" si="102"/>
        <v>-2.961811380610932</v>
      </c>
      <c r="K147" s="82">
        <f t="shared" si="102"/>
        <v>-2.136245697404256</v>
      </c>
      <c r="L147" s="82">
        <f t="shared" si="102"/>
        <v>-1.3170301069437367</v>
      </c>
      <c r="M147" s="82">
        <f t="shared" si="102"/>
        <v>-0.655309056148841</v>
      </c>
      <c r="N147" s="82">
        <f t="shared" si="102"/>
        <v>-0.24424265998741618</v>
      </c>
      <c r="O147" s="82">
        <f t="shared" si="102"/>
        <v>-0.16734818765315862</v>
      </c>
      <c r="P147" s="82">
        <f t="shared" si="102"/>
        <v>-0.5695540331384082</v>
      </c>
      <c r="Q147" s="82">
        <f t="shared" si="102"/>
        <v>-1.7341496887023036</v>
      </c>
      <c r="R147" s="82">
        <f t="shared" si="102"/>
        <v>-4.109702079621362</v>
      </c>
      <c r="S147" s="82">
        <f t="shared" si="102"/>
        <v>-8.058271258275896</v>
      </c>
      <c r="T147" s="82">
        <f t="shared" si="102"/>
        <v>-12.80872758784601</v>
      </c>
      <c r="U147" s="82">
        <f t="shared" si="102"/>
        <v>-14.700676756025278</v>
      </c>
      <c r="V147" s="82">
        <f t="shared" si="102"/>
        <v>-8.256014806064364</v>
      </c>
      <c r="W147" s="82">
        <f t="shared" si="102"/>
        <v>6.409352361553297</v>
      </c>
      <c r="X147" s="82">
        <f t="shared" si="102"/>
        <v>20.617285939544004</v>
      </c>
      <c r="Y147" s="82">
        <f t="shared" si="102"/>
        <v>26.85646253965114</v>
      </c>
      <c r="Z147" s="82">
        <f>$D$8*Z97</f>
        <v>24.87822698564862</v>
      </c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/>
      <c r="DZ147" s="82"/>
      <c r="EA147" s="82"/>
      <c r="EB147" s="82"/>
      <c r="EC147" s="8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/>
      <c r="FH147" s="82"/>
      <c r="FI147" s="82"/>
      <c r="FJ147" s="82"/>
      <c r="FK147" s="82"/>
      <c r="FL147" s="82"/>
      <c r="FM147" s="82"/>
      <c r="FN147" s="82"/>
      <c r="FO147" s="82"/>
      <c r="FP147" s="82"/>
      <c r="FQ147" s="82"/>
      <c r="FR147" s="82"/>
      <c r="FS147" s="82"/>
      <c r="FT147" s="82"/>
      <c r="FU147" s="82"/>
      <c r="FV147" s="82"/>
      <c r="FW147" s="82"/>
      <c r="FX147" s="82"/>
      <c r="FY147" s="82"/>
      <c r="FZ147" s="82"/>
    </row>
    <row r="148" spans="1:182" s="80" customFormat="1" ht="15.75">
      <c r="A148" s="26" t="s">
        <v>134</v>
      </c>
      <c r="B148" s="81">
        <f aca="true" t="shared" si="103" ref="B148:Y148">$F$15*B65</f>
        <v>0.5342418428544438</v>
      </c>
      <c r="C148" s="82">
        <f t="shared" si="103"/>
        <v>0.40496687902500367</v>
      </c>
      <c r="D148" s="82">
        <f t="shared" si="103"/>
        <v>0.2809002733491142</v>
      </c>
      <c r="E148" s="82">
        <f t="shared" si="103"/>
        <v>0.17171012877694022</v>
      </c>
      <c r="F148" s="82">
        <f t="shared" si="103"/>
        <v>0.07706437428785776</v>
      </c>
      <c r="G148" s="82">
        <f t="shared" si="103"/>
        <v>-0.005557792483117976</v>
      </c>
      <c r="H148" s="82">
        <f t="shared" si="103"/>
        <v>-0.07756420997041856</v>
      </c>
      <c r="I148" s="82">
        <f t="shared" si="103"/>
        <v>-0.13859768080202067</v>
      </c>
      <c r="J148" s="82">
        <f t="shared" si="103"/>
        <v>-0.1875938487918569</v>
      </c>
      <c r="K148" s="82">
        <f t="shared" si="103"/>
        <v>-0.22469105297031197</v>
      </c>
      <c r="L148" s="82">
        <f t="shared" si="103"/>
        <v>-0.2527360255840938</v>
      </c>
      <c r="M148" s="82">
        <f t="shared" si="103"/>
        <v>-0.277453181903107</v>
      </c>
      <c r="N148" s="82">
        <f t="shared" si="103"/>
        <v>-0.30649672664739863</v>
      </c>
      <c r="O148" s="82">
        <f t="shared" si="103"/>
        <v>-0.3482562588018425</v>
      </c>
      <c r="P148" s="82">
        <f t="shared" si="103"/>
        <v>-0.4106040170431428</v>
      </c>
      <c r="Q148" s="82">
        <f t="shared" si="103"/>
        <v>-0.49808947167237905</v>
      </c>
      <c r="R148" s="82">
        <f t="shared" si="103"/>
        <v>-0.6037001578509228</v>
      </c>
      <c r="S148" s="82">
        <f t="shared" si="103"/>
        <v>-0.6895541029981543</v>
      </c>
      <c r="T148" s="82">
        <f t="shared" si="103"/>
        <v>-0.6600149119388532</v>
      </c>
      <c r="U148" s="82">
        <f t="shared" si="103"/>
        <v>-0.3746506685876499</v>
      </c>
      <c r="V148" s="82">
        <f t="shared" si="103"/>
        <v>0.21338360091496314</v>
      </c>
      <c r="W148" s="82">
        <f t="shared" si="103"/>
        <v>0.8955879912444309</v>
      </c>
      <c r="X148" s="82">
        <f t="shared" si="103"/>
        <v>1.3552340796073001</v>
      </c>
      <c r="Y148" s="82">
        <f t="shared" si="103"/>
        <v>1.475046180874506</v>
      </c>
      <c r="Z148" s="82">
        <f>$F$15*Z65</f>
        <v>1.347678720397113</v>
      </c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2"/>
      <c r="FL148" s="82"/>
      <c r="FM148" s="82"/>
      <c r="FN148" s="82"/>
      <c r="FO148" s="82"/>
      <c r="FP148" s="82"/>
      <c r="FQ148" s="82"/>
      <c r="FR148" s="82"/>
      <c r="FS148" s="82"/>
      <c r="FT148" s="82"/>
      <c r="FU148" s="82"/>
      <c r="FV148" s="82"/>
      <c r="FW148" s="82"/>
      <c r="FX148" s="82"/>
      <c r="FY148" s="82"/>
      <c r="FZ148" s="82"/>
    </row>
    <row r="149" spans="1:256" s="80" customFormat="1" ht="12.75">
      <c r="A149" s="24" t="s">
        <v>135</v>
      </c>
      <c r="B149" s="81">
        <f>(C145-B145)/RADIANS($F$12)*B29</f>
        <v>50.699452835617954</v>
      </c>
      <c r="C149" s="82">
        <f aca="true" t="shared" si="104" ref="C149:X149">(D145-C145)/RADIANS($F$12)*C29</f>
        <v>69.31387868354334</v>
      </c>
      <c r="D149" s="82">
        <f t="shared" si="104"/>
        <v>60.25016452140631</v>
      </c>
      <c r="E149" s="82">
        <f t="shared" si="104"/>
        <v>37.67139266072588</v>
      </c>
      <c r="F149" s="82">
        <f t="shared" si="104"/>
        <v>10.891951415140062</v>
      </c>
      <c r="G149" s="82">
        <f t="shared" si="104"/>
        <v>-14.270394793652864</v>
      </c>
      <c r="H149" s="82">
        <f t="shared" si="104"/>
        <v>-33.93233997407666</v>
      </c>
      <c r="I149" s="82">
        <f t="shared" si="104"/>
        <v>-45.72038930448887</v>
      </c>
      <c r="J149" s="82">
        <f t="shared" si="104"/>
        <v>-49.04486462256721</v>
      </c>
      <c r="K149" s="82">
        <f t="shared" si="104"/>
        <v>-45.068869069819975</v>
      </c>
      <c r="L149" s="82">
        <f t="shared" si="104"/>
        <v>-35.79915421502999</v>
      </c>
      <c r="M149" s="82">
        <f t="shared" si="104"/>
        <v>-22.6513373802585</v>
      </c>
      <c r="N149" s="82">
        <f t="shared" si="104"/>
        <v>-5.158889498883758</v>
      </c>
      <c r="O149" s="82">
        <f t="shared" si="104"/>
        <v>19.999651453043654</v>
      </c>
      <c r="P149" s="82">
        <f t="shared" si="104"/>
        <v>59.76285058975791</v>
      </c>
      <c r="Q149" s="82">
        <f t="shared" si="104"/>
        <v>124.05671686402543</v>
      </c>
      <c r="R149" s="82">
        <f t="shared" si="104"/>
        <v>217.88556017220603</v>
      </c>
      <c r="S149" s="82">
        <f t="shared" si="104"/>
        <v>313.133918546096</v>
      </c>
      <c r="T149" s="82">
        <f t="shared" si="104"/>
        <v>305.41566144134754</v>
      </c>
      <c r="U149" s="82">
        <f t="shared" si="104"/>
        <v>63.90062961075996</v>
      </c>
      <c r="V149" s="82">
        <f t="shared" si="104"/>
        <v>-322.91979355835576</v>
      </c>
      <c r="W149" s="82">
        <f t="shared" si="104"/>
        <v>-509.7856646306159</v>
      </c>
      <c r="X149" s="82">
        <f t="shared" si="104"/>
        <v>-348.35355915093055</v>
      </c>
      <c r="Y149" s="82">
        <f>(Проверка!Q133-Y145)/RADIANS($F$12)*Y29</f>
        <v>-35.25056188200197</v>
      </c>
      <c r="Z149" s="82">
        <f>Y149</f>
        <v>-35.25056188200197</v>
      </c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/>
      <c r="FH149" s="82"/>
      <c r="FI149" s="82"/>
      <c r="FJ149" s="82"/>
      <c r="FK149" s="82"/>
      <c r="FL149" s="82"/>
      <c r="FM149" s="82"/>
      <c r="FN149" s="82"/>
      <c r="FO149" s="82"/>
      <c r="FP149" s="82"/>
      <c r="FQ149" s="82"/>
      <c r="FR149" s="82"/>
      <c r="FS149" s="82"/>
      <c r="FT149" s="82"/>
      <c r="FU149" s="82"/>
      <c r="FV149" s="82"/>
      <c r="FW149" s="82"/>
      <c r="FX149" s="82"/>
      <c r="FY149" s="82"/>
      <c r="FZ149" s="82"/>
      <c r="GA149" s="82"/>
      <c r="GB149" s="82"/>
      <c r="GC149" s="82"/>
      <c r="GD149" s="82"/>
      <c r="GE149" s="82"/>
      <c r="GF149" s="82"/>
      <c r="GG149" s="82"/>
      <c r="GH149" s="82"/>
      <c r="GI149" s="82"/>
      <c r="GJ149" s="82"/>
      <c r="GK149" s="82"/>
      <c r="GL149" s="82"/>
      <c r="GM149" s="82"/>
      <c r="GN149" s="82"/>
      <c r="GO149" s="82"/>
      <c r="GP149" s="82"/>
      <c r="GQ149" s="82"/>
      <c r="GR149" s="82"/>
      <c r="GS149" s="82"/>
      <c r="GT149" s="82"/>
      <c r="GU149" s="82"/>
      <c r="GV149" s="82"/>
      <c r="GW149" s="82"/>
      <c r="GX149" s="82"/>
      <c r="GY149" s="82"/>
      <c r="GZ149" s="82"/>
      <c r="HA149" s="82"/>
      <c r="HB149" s="82"/>
      <c r="HC149" s="82"/>
      <c r="HD149" s="82"/>
      <c r="HE149" s="82"/>
      <c r="HF149" s="82"/>
      <c r="HG149" s="82"/>
      <c r="HH149" s="82"/>
      <c r="HI149" s="82"/>
      <c r="HJ149" s="82"/>
      <c r="HK149" s="82"/>
      <c r="HL149" s="82"/>
      <c r="HM149" s="82"/>
      <c r="HN149" s="82"/>
      <c r="HO149" s="82"/>
      <c r="HP149" s="82"/>
      <c r="HQ149" s="82"/>
      <c r="HR149" s="82"/>
      <c r="HS149" s="82"/>
      <c r="HT149" s="82"/>
      <c r="HU149" s="82"/>
      <c r="HV149" s="82"/>
      <c r="HW149" s="82"/>
      <c r="HX149" s="82"/>
      <c r="HY149" s="82"/>
      <c r="HZ149" s="82"/>
      <c r="IA149" s="82"/>
      <c r="IB149" s="82"/>
      <c r="IC149" s="82"/>
      <c r="ID149" s="82"/>
      <c r="IE149" s="82"/>
      <c r="IF149" s="82"/>
      <c r="IG149" s="82"/>
      <c r="IH149" s="82"/>
      <c r="II149" s="82"/>
      <c r="IJ149" s="82"/>
      <c r="IK149" s="82"/>
      <c r="IL149" s="82"/>
      <c r="IM149" s="82"/>
      <c r="IN149" s="82"/>
      <c r="IO149" s="82"/>
      <c r="IP149" s="82"/>
      <c r="IQ149" s="82"/>
      <c r="IR149" s="82"/>
      <c r="IS149" s="82"/>
      <c r="IT149" s="82"/>
      <c r="IU149" s="82"/>
      <c r="IV149" s="82"/>
    </row>
    <row r="150" spans="1:256" s="80" customFormat="1" ht="12.75">
      <c r="A150" s="24" t="s">
        <v>136</v>
      </c>
      <c r="B150" s="81">
        <f aca="true" t="shared" si="105" ref="B150:Y150">B146*B94+(B147)*B95+B148*B61</f>
        <v>28.0523434007201</v>
      </c>
      <c r="C150" s="82">
        <f t="shared" si="105"/>
        <v>66.18579675316377</v>
      </c>
      <c r="D150" s="82">
        <f t="shared" si="105"/>
        <v>68.49568140475459</v>
      </c>
      <c r="E150" s="82">
        <f t="shared" si="105"/>
        <v>50.89447344619712</v>
      </c>
      <c r="F150" s="82">
        <f t="shared" si="105"/>
        <v>25.032446316210585</v>
      </c>
      <c r="G150" s="82">
        <f t="shared" si="105"/>
        <v>-1.8481476684634444</v>
      </c>
      <c r="H150" s="82">
        <f t="shared" si="105"/>
        <v>-25.014552776808397</v>
      </c>
      <c r="I150" s="82">
        <f t="shared" si="105"/>
        <v>-41.249139173684206</v>
      </c>
      <c r="J150" s="82">
        <f t="shared" si="105"/>
        <v>-48.94977279828874</v>
      </c>
      <c r="K150" s="82">
        <f t="shared" si="105"/>
        <v>-48.43614449665047</v>
      </c>
      <c r="L150" s="82">
        <f t="shared" si="105"/>
        <v>-41.50251446621119</v>
      </c>
      <c r="M150" s="82">
        <f t="shared" si="105"/>
        <v>-30.112967673385096</v>
      </c>
      <c r="N150" s="82">
        <f t="shared" si="105"/>
        <v>-14.930897490199312</v>
      </c>
      <c r="O150" s="82">
        <f t="shared" si="105"/>
        <v>5.81076993876361</v>
      </c>
      <c r="P150" s="82">
        <f t="shared" si="105"/>
        <v>37.206354183415094</v>
      </c>
      <c r="Q150" s="82">
        <f t="shared" si="105"/>
        <v>88.18640160386914</v>
      </c>
      <c r="R150" s="82">
        <f t="shared" si="105"/>
        <v>168.81034205182902</v>
      </c>
      <c r="S150" s="82">
        <f t="shared" si="105"/>
        <v>274.4412517663577</v>
      </c>
      <c r="T150" s="82">
        <f t="shared" si="105"/>
        <v>343.42865074514856</v>
      </c>
      <c r="U150" s="82">
        <f t="shared" si="105"/>
        <v>230.19325075897822</v>
      </c>
      <c r="V150" s="82">
        <f t="shared" si="105"/>
        <v>-134.83327237360598</v>
      </c>
      <c r="W150" s="82">
        <f t="shared" si="105"/>
        <v>-484.0689098183605</v>
      </c>
      <c r="X150" s="82">
        <f t="shared" si="105"/>
        <v>-483.70034031392464</v>
      </c>
      <c r="Y150" s="82">
        <f t="shared" si="105"/>
        <v>-196.23493321056304</v>
      </c>
      <c r="Z150" s="82">
        <f>Z146*Z94+(Z147)*Z95+Z148*Z61</f>
        <v>111.80978993273014</v>
      </c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/>
      <c r="DY150" s="82"/>
      <c r="DZ150" s="82"/>
      <c r="EA150" s="82"/>
      <c r="EB150" s="82"/>
      <c r="EC150" s="82"/>
      <c r="ED150" s="82"/>
      <c r="EE150" s="82"/>
      <c r="EF150" s="82"/>
      <c r="EG150" s="82"/>
      <c r="EH150" s="82"/>
      <c r="EI150" s="82"/>
      <c r="EJ150" s="82"/>
      <c r="EK150" s="82"/>
      <c r="EL150" s="82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82"/>
      <c r="FG150" s="82"/>
      <c r="FH150" s="82"/>
      <c r="FI150" s="82"/>
      <c r="FJ150" s="82"/>
      <c r="FK150" s="82"/>
      <c r="FL150" s="82"/>
      <c r="FM150" s="82"/>
      <c r="FN150" s="82"/>
      <c r="FO150" s="82"/>
      <c r="FP150" s="82"/>
      <c r="FQ150" s="82"/>
      <c r="FR150" s="82"/>
      <c r="FS150" s="82"/>
      <c r="FT150" s="82"/>
      <c r="FU150" s="82"/>
      <c r="FV150" s="82"/>
      <c r="FW150" s="82"/>
      <c r="FX150" s="82"/>
      <c r="FY150" s="82"/>
      <c r="FZ150" s="82"/>
      <c r="GA150" s="82"/>
      <c r="GB150" s="82"/>
      <c r="GC150" s="82"/>
      <c r="GD150" s="82"/>
      <c r="GE150" s="82"/>
      <c r="GF150" s="82"/>
      <c r="GG150" s="82"/>
      <c r="GH150" s="82"/>
      <c r="GI150" s="82"/>
      <c r="GJ150" s="82"/>
      <c r="GK150" s="82"/>
      <c r="GL150" s="82"/>
      <c r="GM150" s="82"/>
      <c r="GN150" s="82"/>
      <c r="GO150" s="82"/>
      <c r="GP150" s="82"/>
      <c r="GQ150" s="82"/>
      <c r="GR150" s="82"/>
      <c r="GS150" s="82"/>
      <c r="GT150" s="82"/>
      <c r="GU150" s="82"/>
      <c r="GV150" s="82"/>
      <c r="GW150" s="82"/>
      <c r="GX150" s="82"/>
      <c r="GY150" s="82"/>
      <c r="GZ150" s="82"/>
      <c r="HA150" s="82"/>
      <c r="HB150" s="82"/>
      <c r="HC150" s="82"/>
      <c r="HD150" s="82"/>
      <c r="HE150" s="82"/>
      <c r="HF150" s="82"/>
      <c r="HG150" s="82"/>
      <c r="HH150" s="82"/>
      <c r="HI150" s="82"/>
      <c r="HJ150" s="82"/>
      <c r="HK150" s="82"/>
      <c r="HL150" s="82"/>
      <c r="HM150" s="82"/>
      <c r="HN150" s="82"/>
      <c r="HO150" s="82"/>
      <c r="HP150" s="82"/>
      <c r="HQ150" s="82"/>
      <c r="HR150" s="82"/>
      <c r="HS150" s="82"/>
      <c r="HT150" s="82"/>
      <c r="HU150" s="82"/>
      <c r="HV150" s="82"/>
      <c r="HW150" s="82"/>
      <c r="HX150" s="82"/>
      <c r="HY150" s="82"/>
      <c r="HZ150" s="82"/>
      <c r="IA150" s="82"/>
      <c r="IB150" s="82"/>
      <c r="IC150" s="82"/>
      <c r="ID150" s="82"/>
      <c r="IE150" s="82"/>
      <c r="IF150" s="82"/>
      <c r="IG150" s="82"/>
      <c r="IH150" s="82"/>
      <c r="II150" s="82"/>
      <c r="IJ150" s="82"/>
      <c r="IK150" s="82"/>
      <c r="IL150" s="82"/>
      <c r="IM150" s="82"/>
      <c r="IN150" s="82"/>
      <c r="IO150" s="82"/>
      <c r="IP150" s="82"/>
      <c r="IQ150" s="82"/>
      <c r="IR150" s="82"/>
      <c r="IS150" s="82"/>
      <c r="IT150" s="82"/>
      <c r="IU150" s="82"/>
      <c r="IV150" s="82"/>
    </row>
    <row r="151" spans="1:256" s="85" customFormat="1" ht="13.5" thickBot="1">
      <c r="A151" s="25" t="s">
        <v>137</v>
      </c>
      <c r="B151" s="128">
        <f>B150+($D$8*$F$13)*B95</f>
        <v>38.660750694919784</v>
      </c>
      <c r="C151" s="128">
        <f>C150+($D$8*$F$13)*C95</f>
        <v>98.07301688327189</v>
      </c>
      <c r="D151" s="128">
        <f>D150+($D$8*$F$13)*D95</f>
        <v>112.83725821307456</v>
      </c>
      <c r="E151" s="84">
        <f aca="true" t="shared" si="106" ref="E151:Y151">E146*E94+(E147+$D$8*$F$13)*E95+E148*E61</f>
        <v>99.4182873491066</v>
      </c>
      <c r="F151" s="84">
        <f t="shared" si="106"/>
        <v>71.2177219330974</v>
      </c>
      <c r="G151" s="84">
        <f t="shared" si="106"/>
        <v>37.65201718192905</v>
      </c>
      <c r="H151" s="84">
        <f t="shared" si="106"/>
        <v>5.634886488341962</v>
      </c>
      <c r="I151" s="84">
        <f t="shared" si="106"/>
        <v>-19.71478127343078</v>
      </c>
      <c r="J151" s="84">
        <f t="shared" si="106"/>
        <v>-35.39783200966311</v>
      </c>
      <c r="K151" s="84">
        <f t="shared" si="106"/>
        <v>-40.96468692954834</v>
      </c>
      <c r="L151" s="84">
        <f t="shared" si="106"/>
        <v>-38.04051071361775</v>
      </c>
      <c r="M151" s="84">
        <f t="shared" si="106"/>
        <v>-28.864560138076097</v>
      </c>
      <c r="N151" s="84">
        <f t="shared" si="106"/>
        <v>-14.634848779607655</v>
      </c>
      <c r="O151" s="84">
        <f t="shared" si="106"/>
        <v>5.728058547527606</v>
      </c>
      <c r="P151" s="84">
        <f t="shared" si="106"/>
        <v>36.44503774682777</v>
      </c>
      <c r="Q151" s="84">
        <f t="shared" si="106"/>
        <v>85.20243159100347</v>
      </c>
      <c r="R151" s="84">
        <f t="shared" si="106"/>
        <v>160.1604771472965</v>
      </c>
      <c r="S151" s="84">
        <f t="shared" si="106"/>
        <v>254.04149029431616</v>
      </c>
      <c r="T151" s="84">
        <f t="shared" si="106"/>
        <v>302.89614180919335</v>
      </c>
      <c r="U151" s="84">
        <f t="shared" si="106"/>
        <v>162.9560708969352</v>
      </c>
      <c r="V151" s="84">
        <f t="shared" si="106"/>
        <v>-224.6386642388488</v>
      </c>
      <c r="W151" s="84">
        <f t="shared" si="106"/>
        <v>-576.3303310077381</v>
      </c>
      <c r="X151" s="84">
        <f t="shared" si="106"/>
        <v>-551.8228497713478</v>
      </c>
      <c r="Y151" s="84">
        <f t="shared" si="106"/>
        <v>-222.98853556284462</v>
      </c>
      <c r="Z151" s="84">
        <f>Z146*Z94+(Z147+$D$8*$F$13)*Z95+Z148*Z61</f>
        <v>128.57127132150217</v>
      </c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4"/>
      <c r="IT151" s="84"/>
      <c r="IU151" s="84"/>
      <c r="IV151" s="84"/>
    </row>
    <row r="152" spans="27:182" ht="13.5" thickBot="1">
      <c r="AA152" s="41"/>
      <c r="FZ152" s="41"/>
    </row>
    <row r="153" spans="1:182" ht="12.75">
      <c r="A153" s="22" t="s">
        <v>148</v>
      </c>
      <c r="B153" s="41">
        <f>($F$17*(B114^2+B117^2)+$F$18*B60^2)/2</f>
        <v>1.5804250216959197</v>
      </c>
      <c r="C153" s="41">
        <f aca="true" t="shared" si="107" ref="C153:Z153">($F$17*(C114^2+C117^2)+$F$18*C60^2)/2</f>
        <v>1.3006893682995389</v>
      </c>
      <c r="D153" s="41">
        <f t="shared" si="107"/>
        <v>0.8155680878786837</v>
      </c>
      <c r="E153" s="41">
        <f t="shared" si="107"/>
        <v>0.3694587242919195</v>
      </c>
      <c r="F153" s="41">
        <f t="shared" si="107"/>
        <v>0.09664928302474173</v>
      </c>
      <c r="G153" s="41">
        <f t="shared" si="107"/>
        <v>0.0036222978916365923</v>
      </c>
      <c r="H153" s="41">
        <f t="shared" si="107"/>
        <v>0.015551448792364132</v>
      </c>
      <c r="I153" s="41">
        <f t="shared" si="107"/>
        <v>0.04710278268163695</v>
      </c>
      <c r="J153" s="41">
        <f t="shared" si="107"/>
        <v>0.053621534582538245</v>
      </c>
      <c r="K153" s="41">
        <f t="shared" si="107"/>
        <v>0.037550530620610756</v>
      </c>
      <c r="L153" s="41">
        <f t="shared" si="107"/>
        <v>0.020855888171333485</v>
      </c>
      <c r="M153" s="41">
        <f t="shared" si="107"/>
        <v>0.015765631623800763</v>
      </c>
      <c r="N153" s="41">
        <f t="shared" si="107"/>
        <v>0.016877817051951224</v>
      </c>
      <c r="O153" s="41">
        <f t="shared" si="107"/>
        <v>0.02078941236913445</v>
      </c>
      <c r="P153" s="41">
        <f t="shared" si="107"/>
        <v>0.07941801172716022</v>
      </c>
      <c r="Q153" s="41">
        <f t="shared" si="107"/>
        <v>0.38547996590295214</v>
      </c>
      <c r="R153" s="41">
        <f t="shared" si="107"/>
        <v>1.2668533088795315</v>
      </c>
      <c r="S153" s="41">
        <f t="shared" si="107"/>
        <v>2.7034501642879425</v>
      </c>
      <c r="T153" s="41">
        <f t="shared" si="107"/>
        <v>3.5000250913611133</v>
      </c>
      <c r="U153" s="41">
        <f t="shared" si="107"/>
        <v>2.3245413212925596</v>
      </c>
      <c r="V153" s="41">
        <f t="shared" si="107"/>
        <v>0.44048317836425677</v>
      </c>
      <c r="W153" s="41">
        <f t="shared" si="107"/>
        <v>0.22113225875190431</v>
      </c>
      <c r="X153" s="41">
        <f t="shared" si="107"/>
        <v>1.7087049058625572</v>
      </c>
      <c r="Y153" s="41">
        <f t="shared" si="107"/>
        <v>3.3296732996662444</v>
      </c>
      <c r="Z153" s="41">
        <f t="shared" si="107"/>
        <v>3.9454661735490046</v>
      </c>
      <c r="AA153" s="41"/>
      <c r="FZ153" s="41"/>
    </row>
    <row r="154" spans="1:182" ht="15.75">
      <c r="A154" s="26" t="s">
        <v>149</v>
      </c>
      <c r="B154" s="41">
        <f>$F$17*B118</f>
        <v>-0.05088625340773481</v>
      </c>
      <c r="C154" s="41">
        <f aca="true" t="shared" si="108" ref="C154:Z154">$F$17*C118</f>
        <v>-0.1044999688608679</v>
      </c>
      <c r="D154" s="41">
        <f t="shared" si="108"/>
        <v>-0.13054675244060973</v>
      </c>
      <c r="E154" s="41">
        <f t="shared" si="108"/>
        <v>-0.13207443526152937</v>
      </c>
      <c r="F154" s="41">
        <f t="shared" si="108"/>
        <v>-0.11342031104092017</v>
      </c>
      <c r="G154" s="41">
        <f t="shared" si="108"/>
        <v>-0.08061685777615635</v>
      </c>
      <c r="H154" s="41">
        <f t="shared" si="108"/>
        <v>-0.041388197947615835</v>
      </c>
      <c r="I154" s="41">
        <f t="shared" si="108"/>
        <v>-0.004181402736874273</v>
      </c>
      <c r="J154" s="41">
        <f t="shared" si="108"/>
        <v>0.023591527938240757</v>
      </c>
      <c r="K154" s="41">
        <f t="shared" si="108"/>
        <v>0.03701073363403542</v>
      </c>
      <c r="L154" s="41">
        <f t="shared" si="108"/>
        <v>0.033581536823052</v>
      </c>
      <c r="M154" s="41">
        <f t="shared" si="108"/>
        <v>0.011552385883613119</v>
      </c>
      <c r="N154" s="41">
        <f t="shared" si="108"/>
        <v>-0.032010558389693466</v>
      </c>
      <c r="O154" s="41">
        <f t="shared" si="108"/>
        <v>-0.10091612820525436</v>
      </c>
      <c r="P154" s="41">
        <f t="shared" si="108"/>
        <v>-0.19317514980481354</v>
      </c>
      <c r="Q154" s="41">
        <f t="shared" si="108"/>
        <v>-0.28262131379792504</v>
      </c>
      <c r="R154" s="41">
        <f t="shared" si="108"/>
        <v>-0.29535374932539854</v>
      </c>
      <c r="S154" s="41">
        <f t="shared" si="108"/>
        <v>-0.13156876469447318</v>
      </c>
      <c r="T154" s="41">
        <f t="shared" si="108"/>
        <v>0.20946438689602465</v>
      </c>
      <c r="U154" s="41">
        <f t="shared" si="108"/>
        <v>0.5411806791416275</v>
      </c>
      <c r="V154" s="41">
        <f t="shared" si="108"/>
        <v>0.6637150873947338</v>
      </c>
      <c r="W154" s="41">
        <f t="shared" si="108"/>
        <v>0.5637443923086763</v>
      </c>
      <c r="X154" s="41">
        <f t="shared" si="108"/>
        <v>0.34861205120601</v>
      </c>
      <c r="Y154" s="41">
        <f t="shared" si="108"/>
        <v>0.11270079074580966</v>
      </c>
      <c r="Z154" s="41">
        <f t="shared" si="108"/>
        <v>0.11270079074580966</v>
      </c>
      <c r="AA154" s="41"/>
      <c r="FZ154" s="41"/>
    </row>
    <row r="155" spans="1:182" ht="15.75">
      <c r="A155" s="26" t="s">
        <v>150</v>
      </c>
      <c r="B155" s="41">
        <f>$F$17*B119</f>
        <v>-0.18991008312449123</v>
      </c>
      <c r="C155" s="41">
        <f aca="true" t="shared" si="109" ref="C155:Z155">$F$17*C119</f>
        <v>-0.3899991931781246</v>
      </c>
      <c r="D155" s="41">
        <f t="shared" si="109"/>
        <v>-0.4872071128714719</v>
      </c>
      <c r="E155" s="41">
        <f t="shared" si="109"/>
        <v>-0.4929085027769941</v>
      </c>
      <c r="F155" s="41">
        <f t="shared" si="109"/>
        <v>-0.4232903634149794</v>
      </c>
      <c r="G155" s="41">
        <f t="shared" si="109"/>
        <v>-0.30086620916716966</v>
      </c>
      <c r="H155" s="41">
        <f t="shared" si="109"/>
        <v>-0.15446285757422026</v>
      </c>
      <c r="I155" s="41">
        <f t="shared" si="109"/>
        <v>-0.015605207460922347</v>
      </c>
      <c r="J155" s="41">
        <f t="shared" si="109"/>
        <v>0.08804478089369516</v>
      </c>
      <c r="K155" s="41">
        <f t="shared" si="109"/>
        <v>0.1381259383476185</v>
      </c>
      <c r="L155" s="41">
        <f t="shared" si="109"/>
        <v>0.1253280016198752</v>
      </c>
      <c r="M155" s="41">
        <f t="shared" si="109"/>
        <v>0.043114091066285644</v>
      </c>
      <c r="N155" s="41">
        <f t="shared" si="109"/>
        <v>-0.11946503028898621</v>
      </c>
      <c r="O155" s="41">
        <f t="shared" si="109"/>
        <v>-0.37662411776514393</v>
      </c>
      <c r="P155" s="41">
        <f t="shared" si="109"/>
        <v>-0.7209394738312933</v>
      </c>
      <c r="Q155" s="41">
        <f t="shared" si="109"/>
        <v>-1.0547571023957232</v>
      </c>
      <c r="R155" s="41">
        <f t="shared" si="109"/>
        <v>-1.1022751986883497</v>
      </c>
      <c r="S155" s="41">
        <f t="shared" si="109"/>
        <v>-0.49102131452884823</v>
      </c>
      <c r="T155" s="41">
        <f t="shared" si="109"/>
        <v>0.7817317342722286</v>
      </c>
      <c r="U155" s="41">
        <f t="shared" si="109"/>
        <v>2.0197137906311844</v>
      </c>
      <c r="V155" s="41">
        <f t="shared" si="109"/>
        <v>2.4770184279071645</v>
      </c>
      <c r="W155" s="41">
        <f t="shared" si="109"/>
        <v>2.1039227145780215</v>
      </c>
      <c r="X155" s="41">
        <f t="shared" si="109"/>
        <v>1.3010378872316326</v>
      </c>
      <c r="Y155" s="41">
        <f t="shared" si="109"/>
        <v>0.42060507711655</v>
      </c>
      <c r="Z155" s="41">
        <f t="shared" si="109"/>
        <v>0.42060507711655</v>
      </c>
      <c r="AA155" s="41"/>
      <c r="FZ155" s="41"/>
    </row>
    <row r="156" spans="1:182" ht="15.75">
      <c r="A156" s="26" t="s">
        <v>151</v>
      </c>
      <c r="B156" s="41">
        <f>$F$18*B64</f>
        <v>0.06364069290781003</v>
      </c>
      <c r="C156" s="41">
        <f aca="true" t="shared" si="110" ref="C156:Z156">$F$18*C64</f>
        <v>0.06077855825748214</v>
      </c>
      <c r="D156" s="41">
        <f t="shared" si="110"/>
        <v>0.05625691764386359</v>
      </c>
      <c r="E156" s="41">
        <f t="shared" si="110"/>
        <v>0.052866884648212</v>
      </c>
      <c r="F156" s="41">
        <f t="shared" si="110"/>
        <v>0.05134227602340588</v>
      </c>
      <c r="G156" s="41">
        <f t="shared" si="110"/>
        <v>0.05138740858651352</v>
      </c>
      <c r="H156" s="41">
        <f t="shared" si="110"/>
        <v>0.052134401144611375</v>
      </c>
      <c r="I156" s="41">
        <f t="shared" si="110"/>
        <v>0.05237666099194021</v>
      </c>
      <c r="J156" s="41">
        <f t="shared" si="110"/>
        <v>0.05082349905063931</v>
      </c>
      <c r="K156" s="41">
        <f t="shared" si="110"/>
        <v>0.04639797282592031</v>
      </c>
      <c r="L156" s="41">
        <f t="shared" si="110"/>
        <v>0.038403081749972916</v>
      </c>
      <c r="M156" s="41">
        <f t="shared" si="110"/>
        <v>0.026394205795617853</v>
      </c>
      <c r="N156" s="41">
        <f t="shared" si="110"/>
        <v>0.009808303321648384</v>
      </c>
      <c r="O156" s="41">
        <f t="shared" si="110"/>
        <v>-0.012436965654633272</v>
      </c>
      <c r="P156" s="41">
        <f t="shared" si="110"/>
        <v>-0.04214853146725078</v>
      </c>
      <c r="Q156" s="41">
        <f t="shared" si="110"/>
        <v>-0.08155747561860499</v>
      </c>
      <c r="R156" s="41">
        <f t="shared" si="110"/>
        <v>-0.13175146778374505</v>
      </c>
      <c r="S156" s="41">
        <f t="shared" si="110"/>
        <v>-0.18835368134047037</v>
      </c>
      <c r="T156" s="41">
        <f t="shared" si="110"/>
        <v>-0.2339862116578688</v>
      </c>
      <c r="U156" s="41">
        <f t="shared" si="110"/>
        <v>-0.23575358466242544</v>
      </c>
      <c r="V156" s="41">
        <f t="shared" si="110"/>
        <v>-0.16829444069308339</v>
      </c>
      <c r="W156" s="41">
        <f t="shared" si="110"/>
        <v>-0.05307143007967801</v>
      </c>
      <c r="X156" s="41">
        <f t="shared" si="110"/>
        <v>0.053545320194060754</v>
      </c>
      <c r="Y156" s="41">
        <f t="shared" si="110"/>
        <v>0.11776046734823904</v>
      </c>
      <c r="Z156" s="41">
        <f t="shared" si="110"/>
        <v>0.14374314359122523</v>
      </c>
      <c r="AA156" s="41"/>
      <c r="FZ156" s="41"/>
    </row>
    <row r="157" spans="1:182" ht="12.75">
      <c r="A157" s="24" t="s">
        <v>152</v>
      </c>
      <c r="B157" s="41">
        <f>(C153-B153)/RADIANS($F$12)*B29</f>
        <v>-1.0685114879298037</v>
      </c>
      <c r="C157" s="41">
        <f aca="true" t="shared" si="111" ref="C157:Z157">(D153-C153)/RADIANS($F$12)*C29</f>
        <v>-1.8530267946731664</v>
      </c>
      <c r="D157" s="41">
        <f t="shared" si="111"/>
        <v>-1.7084733426217824</v>
      </c>
      <c r="E157" s="41">
        <f t="shared" si="111"/>
        <v>-1.050239589633442</v>
      </c>
      <c r="F157" s="41">
        <f t="shared" si="111"/>
        <v>-0.36091124046049905</v>
      </c>
      <c r="G157" s="41">
        <f t="shared" si="111"/>
        <v>0.04675426216028281</v>
      </c>
      <c r="H157" s="41">
        <f t="shared" si="111"/>
        <v>0.12521324583806814</v>
      </c>
      <c r="I157" s="41">
        <f t="shared" si="111"/>
        <v>0.026251218769985436</v>
      </c>
      <c r="J157" s="41">
        <f t="shared" si="111"/>
        <v>-0.06580121713876265</v>
      </c>
      <c r="K157" s="41">
        <f t="shared" si="111"/>
        <v>-0.06962146216187427</v>
      </c>
      <c r="L157" s="41">
        <f t="shared" si="111"/>
        <v>-0.02165522260664364</v>
      </c>
      <c r="M157" s="41">
        <f t="shared" si="111"/>
        <v>0.004833383691739797</v>
      </c>
      <c r="N157" s="41">
        <f t="shared" si="111"/>
        <v>0.01738550759537173</v>
      </c>
      <c r="O157" s="41">
        <f t="shared" si="111"/>
        <v>0.26676483316182553</v>
      </c>
      <c r="P157" s="41">
        <f t="shared" si="111"/>
        <v>1.4268005146252825</v>
      </c>
      <c r="Q157" s="41">
        <f t="shared" si="111"/>
        <v>4.2123746413294985</v>
      </c>
      <c r="R157" s="41">
        <f t="shared" si="111"/>
        <v>7.042535997061915</v>
      </c>
      <c r="S157" s="41">
        <f t="shared" si="111"/>
        <v>4.006859524409854</v>
      </c>
      <c r="T157" s="41">
        <f t="shared" si="111"/>
        <v>-6.068517768144573</v>
      </c>
      <c r="U157" s="41">
        <f t="shared" si="111"/>
        <v>-9.984108652996271</v>
      </c>
      <c r="V157" s="41">
        <f t="shared" si="111"/>
        <v>-1.1932329658757874</v>
      </c>
      <c r="W157" s="41">
        <f t="shared" si="111"/>
        <v>8.306600071187898</v>
      </c>
      <c r="X157" s="41">
        <f t="shared" si="111"/>
        <v>9.290504275366022</v>
      </c>
      <c r="Y157" s="41">
        <f t="shared" si="111"/>
        <v>3.6220589027084267</v>
      </c>
      <c r="Z157" s="41">
        <f t="shared" si="111"/>
        <v>-23.811782739190576</v>
      </c>
      <c r="AA157" s="41"/>
      <c r="FZ157" s="41"/>
    </row>
    <row r="158" spans="1:182" ht="12.75">
      <c r="A158" s="24" t="s">
        <v>153</v>
      </c>
      <c r="B158" s="41">
        <f>B154*B114+B155*B117</f>
        <v>-1.1018847185118081</v>
      </c>
      <c r="C158" s="41">
        <f aca="true" t="shared" si="112" ref="C158:Z158">C154*C114+C155*C117</f>
        <v>-2.055006953256859</v>
      </c>
      <c r="D158" s="41">
        <f t="shared" si="112"/>
        <v>-2.0340596765285595</v>
      </c>
      <c r="E158" s="41">
        <f t="shared" si="112"/>
        <v>-1.385775611426318</v>
      </c>
      <c r="F158" s="41">
        <f t="shared" si="112"/>
        <v>-0.6091670847279369</v>
      </c>
      <c r="G158" s="41">
        <f t="shared" si="112"/>
        <v>-0.08115368809384506</v>
      </c>
      <c r="H158" s="41">
        <f t="shared" si="112"/>
        <v>0.08542235380669684</v>
      </c>
      <c r="I158" s="41">
        <f t="shared" si="112"/>
        <v>0.015140011447834759</v>
      </c>
      <c r="J158" s="41">
        <f t="shared" si="112"/>
        <v>-0.08907693379651947</v>
      </c>
      <c r="K158" s="41">
        <f t="shared" si="112"/>
        <v>-0.10791052261650047</v>
      </c>
      <c r="L158" s="41">
        <f t="shared" si="112"/>
        <v>-0.053421412857423</v>
      </c>
      <c r="M158" s="41">
        <f t="shared" si="112"/>
        <v>-0.004764409447308062</v>
      </c>
      <c r="N158" s="41">
        <f t="shared" si="112"/>
        <v>0.0004989546144652389</v>
      </c>
      <c r="O158" s="41">
        <f t="shared" si="112"/>
        <v>0.11007254228933143</v>
      </c>
      <c r="P158" s="41">
        <f t="shared" si="112"/>
        <v>0.8502905100664344</v>
      </c>
      <c r="Q158" s="41">
        <f t="shared" si="112"/>
        <v>2.9922769329557073</v>
      </c>
      <c r="R158" s="41">
        <f t="shared" si="112"/>
        <v>5.734363784224035</v>
      </c>
      <c r="S158" s="41">
        <f t="shared" si="112"/>
        <v>3.7377766680600417</v>
      </c>
      <c r="T158" s="41">
        <f t="shared" si="112"/>
        <v>-6.76862337585708</v>
      </c>
      <c r="U158" s="41">
        <f t="shared" si="112"/>
        <v>-14.209802305810861</v>
      </c>
      <c r="V158" s="41">
        <f t="shared" si="112"/>
        <v>-7.308684241757032</v>
      </c>
      <c r="W158" s="41">
        <f t="shared" si="112"/>
        <v>4.060166760400749</v>
      </c>
      <c r="X158" s="41">
        <f t="shared" si="112"/>
        <v>7.764716760587697</v>
      </c>
      <c r="Y158" s="41">
        <f t="shared" si="112"/>
        <v>3.533532389715481</v>
      </c>
      <c r="Z158" s="41">
        <f t="shared" si="112"/>
        <v>3.855891995114868</v>
      </c>
      <c r="AA158" s="41"/>
      <c r="FZ158" s="41"/>
    </row>
    <row r="159" spans="1:182" ht="13.5" thickBot="1">
      <c r="A159" s="25" t="s">
        <v>154</v>
      </c>
      <c r="B159" s="41">
        <f>B158+$F$17*$F$13*B117</f>
        <v>4.208728838546499</v>
      </c>
      <c r="C159" s="41">
        <f aca="true" t="shared" si="113" ref="C159:Z159">C158+$F$17*$F$13*C117</f>
        <v>2.7678696540774617</v>
      </c>
      <c r="D159" s="41">
        <f t="shared" si="113"/>
        <v>1.787200725146886</v>
      </c>
      <c r="E159" s="41">
        <f t="shared" si="113"/>
        <v>1.1874814161681762</v>
      </c>
      <c r="F159" s="41">
        <f t="shared" si="113"/>
        <v>0.7080416776041125</v>
      </c>
      <c r="G159" s="41">
        <f t="shared" si="113"/>
        <v>0.16572943975366694</v>
      </c>
      <c r="H159" s="41">
        <f t="shared" si="113"/>
        <v>-0.42075654041837085</v>
      </c>
      <c r="I159" s="41">
        <f t="shared" si="113"/>
        <v>-0.8728605092475531</v>
      </c>
      <c r="J159" s="41">
        <f t="shared" si="113"/>
        <v>-1.015092326728525</v>
      </c>
      <c r="K159" s="41">
        <f t="shared" si="113"/>
        <v>-0.822974858638179</v>
      </c>
      <c r="L159" s="41">
        <f t="shared" si="113"/>
        <v>-0.44356441233710786</v>
      </c>
      <c r="M159" s="41">
        <f t="shared" si="113"/>
        <v>-0.10590987227414808</v>
      </c>
      <c r="N159" s="41">
        <f t="shared" si="113"/>
        <v>-0.003323803417678281</v>
      </c>
      <c r="O159" s="41">
        <f t="shared" si="113"/>
        <v>-0.15742970414597102</v>
      </c>
      <c r="P159" s="41">
        <f t="shared" si="113"/>
        <v>-0.22921556410769206</v>
      </c>
      <c r="Q159" s="41">
        <f t="shared" si="113"/>
        <v>0.39567192838023413</v>
      </c>
      <c r="R159" s="41">
        <f t="shared" si="113"/>
        <v>0.9727762936534292</v>
      </c>
      <c r="S159" s="41">
        <f t="shared" si="113"/>
        <v>-3.229604457471137</v>
      </c>
      <c r="T159" s="41">
        <f t="shared" si="113"/>
        <v>-14.693621546323897</v>
      </c>
      <c r="U159" s="41">
        <f t="shared" si="113"/>
        <v>-20.649341169296598</v>
      </c>
      <c r="V159" s="41">
        <f t="shared" si="113"/>
        <v>-10.009323182069199</v>
      </c>
      <c r="W159" s="41">
        <f t="shared" si="113"/>
        <v>5.826491909836668</v>
      </c>
      <c r="X159" s="41">
        <f t="shared" si="113"/>
        <v>13.227226673673865</v>
      </c>
      <c r="Y159" s="41">
        <f t="shared" si="113"/>
        <v>11.222908949036054</v>
      </c>
      <c r="Z159" s="41">
        <f t="shared" si="113"/>
        <v>12.24676046679045</v>
      </c>
      <c r="AA159" s="41"/>
      <c r="FZ159" s="41"/>
    </row>
    <row r="160" spans="27:182" ht="12.75">
      <c r="AA160" s="41"/>
      <c r="FZ160" s="41"/>
    </row>
    <row r="161" spans="1:182" ht="12.75">
      <c r="A161" s="129" t="s">
        <v>210</v>
      </c>
      <c r="AA161" s="41"/>
      <c r="FZ161" s="41"/>
    </row>
    <row r="162" spans="1:182" ht="12.75">
      <c r="A162" s="129" t="s">
        <v>211</v>
      </c>
      <c r="B162" s="130">
        <f aca="true" t="shared" si="114" ref="B162:Z162">(B100+B124)/2</f>
        <v>13.691814757298385</v>
      </c>
      <c r="C162" s="41">
        <f t="shared" si="114"/>
        <v>14.05809889834871</v>
      </c>
      <c r="D162" s="41">
        <f t="shared" si="114"/>
        <v>14.369077677527144</v>
      </c>
      <c r="E162" s="41">
        <f t="shared" si="114"/>
        <v>14.59731825799922</v>
      </c>
      <c r="F162" s="41">
        <f t="shared" si="114"/>
        <v>14.734305572694703</v>
      </c>
      <c r="G162" s="41">
        <f t="shared" si="114"/>
        <v>14.787614790317356</v>
      </c>
      <c r="H162" s="41">
        <f t="shared" si="114"/>
        <v>14.776613464928026</v>
      </c>
      <c r="I162" s="41">
        <f t="shared" si="114"/>
        <v>14.7268907804323</v>
      </c>
      <c r="J162" s="41">
        <f t="shared" si="114"/>
        <v>14.66415467665339</v>
      </c>
      <c r="K162" s="41">
        <f t="shared" si="114"/>
        <v>14.608861383333299</v>
      </c>
      <c r="L162" s="41">
        <f t="shared" si="114"/>
        <v>14.572769502052182</v>
      </c>
      <c r="M162" s="41">
        <f t="shared" si="114"/>
        <v>14.557725905287388</v>
      </c>
      <c r="N162" s="41">
        <f t="shared" si="114"/>
        <v>14.555864469278681</v>
      </c>
      <c r="O162" s="41">
        <f t="shared" si="114"/>
        <v>14.549945122420798</v>
      </c>
      <c r="P162" s="41">
        <f t="shared" si="114"/>
        <v>14.513270632814754</v>
      </c>
      <c r="Q162" s="41">
        <f t="shared" si="114"/>
        <v>14.410665907240437</v>
      </c>
      <c r="R162" s="41">
        <f t="shared" si="114"/>
        <v>14.205553971105967</v>
      </c>
      <c r="S162" s="41">
        <f t="shared" si="114"/>
        <v>13.880914673595768</v>
      </c>
      <c r="T162" s="41">
        <f t="shared" si="114"/>
        <v>13.472989648860768</v>
      </c>
      <c r="U162" s="41">
        <f t="shared" si="114"/>
        <v>13.086085536989017</v>
      </c>
      <c r="V162" s="41">
        <f t="shared" si="114"/>
        <v>12.846293373627578</v>
      </c>
      <c r="W162" s="41">
        <f t="shared" si="114"/>
        <v>12.823255700021122</v>
      </c>
      <c r="X162" s="41">
        <f t="shared" si="114"/>
        <v>13.002497957098281</v>
      </c>
      <c r="Y162" s="41">
        <f t="shared" si="114"/>
        <v>13.31781817302339</v>
      </c>
      <c r="Z162" s="41">
        <f t="shared" si="114"/>
        <v>13.691814757298385</v>
      </c>
      <c r="AA162" s="41"/>
      <c r="FZ162" s="41"/>
    </row>
    <row r="163" spans="1:182" ht="13.5" thickBot="1">
      <c r="A163" s="129" t="s">
        <v>212</v>
      </c>
      <c r="B163" s="130">
        <f aca="true" t="shared" si="115" ref="B163:Z163">(B101+B125)/2</f>
        <v>6.098548322058912</v>
      </c>
      <c r="C163" s="41">
        <f t="shared" si="115"/>
        <v>7.465539346465457</v>
      </c>
      <c r="D163" s="41">
        <f t="shared" si="115"/>
        <v>8.626127950435107</v>
      </c>
      <c r="E163" s="41">
        <f t="shared" si="115"/>
        <v>9.477933393105909</v>
      </c>
      <c r="F163" s="41">
        <f t="shared" si="115"/>
        <v>9.989177011541885</v>
      </c>
      <c r="G163" s="41">
        <f t="shared" si="115"/>
        <v>10.18812972022137</v>
      </c>
      <c r="H163" s="41">
        <f t="shared" si="115"/>
        <v>10.147072214917793</v>
      </c>
      <c r="I163" s="41">
        <f t="shared" si="115"/>
        <v>9.961504630091023</v>
      </c>
      <c r="J163" s="41">
        <f t="shared" si="115"/>
        <v>9.727370303319221</v>
      </c>
      <c r="K163" s="41">
        <f t="shared" si="115"/>
        <v>9.521012923330824</v>
      </c>
      <c r="L163" s="41">
        <f t="shared" si="115"/>
        <v>9.386316188648957</v>
      </c>
      <c r="M163" s="41">
        <f t="shared" si="115"/>
        <v>9.330172721194169</v>
      </c>
      <c r="N163" s="41">
        <f t="shared" si="115"/>
        <v>9.323225747434629</v>
      </c>
      <c r="O163" s="41">
        <f t="shared" si="115"/>
        <v>9.301134444213398</v>
      </c>
      <c r="P163" s="41">
        <f t="shared" si="115"/>
        <v>9.164263385661984</v>
      </c>
      <c r="Q163" s="41">
        <f t="shared" si="115"/>
        <v>8.78133733672197</v>
      </c>
      <c r="R163" s="41">
        <f t="shared" si="115"/>
        <v>8.015849169829304</v>
      </c>
      <c r="S163" s="41">
        <f t="shared" si="115"/>
        <v>6.804278817387777</v>
      </c>
      <c r="T163" s="41">
        <f t="shared" si="115"/>
        <v>5.281881899397961</v>
      </c>
      <c r="U163" s="41">
        <f t="shared" si="115"/>
        <v>3.8379360962352695</v>
      </c>
      <c r="V163" s="41">
        <f t="shared" si="115"/>
        <v>2.9430195593135284</v>
      </c>
      <c r="W163" s="41">
        <f t="shared" si="115"/>
        <v>2.8570417909260346</v>
      </c>
      <c r="X163" s="41">
        <f t="shared" si="115"/>
        <v>3.52598300120132</v>
      </c>
      <c r="Y163" s="41">
        <f t="shared" si="115"/>
        <v>4.7027740676874235</v>
      </c>
      <c r="Z163" s="41">
        <f t="shared" si="115"/>
        <v>6.098548322058912</v>
      </c>
      <c r="AA163" s="41"/>
      <c r="FZ163" s="41"/>
    </row>
    <row r="164" spans="1:255" s="138" customFormat="1" ht="12.75">
      <c r="A164" s="136" t="s">
        <v>203</v>
      </c>
      <c r="B164" s="137">
        <f aca="true" t="shared" si="116" ref="B164:Y164">$D$17*(B114^2+B117^2)/2</f>
        <v>78.52425728051566</v>
      </c>
      <c r="C164" s="137">
        <f t="shared" si="116"/>
        <v>64.76296731832261</v>
      </c>
      <c r="D164" s="137">
        <f t="shared" si="116"/>
        <v>40.65628625524027</v>
      </c>
      <c r="E164" s="137">
        <f t="shared" si="116"/>
        <v>18.436597426858693</v>
      </c>
      <c r="F164" s="137">
        <f t="shared" si="116"/>
        <v>4.830851192074767</v>
      </c>
      <c r="G164" s="137">
        <f t="shared" si="116"/>
        <v>0.16970602441630556</v>
      </c>
      <c r="H164" s="137">
        <f t="shared" si="116"/>
        <v>0.713382584980133</v>
      </c>
      <c r="I164" s="137">
        <f t="shared" si="116"/>
        <v>2.195537597469532</v>
      </c>
      <c r="J164" s="137">
        <f t="shared" si="116"/>
        <v>2.3875410621424837</v>
      </c>
      <c r="K164" s="137">
        <f t="shared" si="116"/>
        <v>1.423654724914053</v>
      </c>
      <c r="L164" s="137">
        <f t="shared" si="116"/>
        <v>0.42380109534992194</v>
      </c>
      <c r="M164" s="137">
        <f t="shared" si="116"/>
        <v>0.028484411404173692</v>
      </c>
      <c r="N164" s="137">
        <f t="shared" si="116"/>
        <v>4.068816056803784E-05</v>
      </c>
      <c r="O164" s="137">
        <f t="shared" si="116"/>
        <v>0.1992366838959878</v>
      </c>
      <c r="P164" s="137">
        <f t="shared" si="116"/>
        <v>3.244625809283232</v>
      </c>
      <c r="Q164" s="137">
        <f t="shared" si="116"/>
        <v>18.772677410526263</v>
      </c>
      <c r="R164" s="137">
        <f t="shared" si="116"/>
        <v>63.12741050172657</v>
      </c>
      <c r="S164" s="137">
        <f t="shared" si="116"/>
        <v>135.1616774748722</v>
      </c>
      <c r="T164" s="137">
        <f t="shared" si="116"/>
        <v>174.86898085921075</v>
      </c>
      <c r="U164" s="137">
        <f t="shared" si="116"/>
        <v>115.45798527260551</v>
      </c>
      <c r="V164" s="137">
        <f t="shared" si="116"/>
        <v>20.307080412976802</v>
      </c>
      <c r="W164" s="137">
        <f t="shared" si="116"/>
        <v>8.686718395919137</v>
      </c>
      <c r="X164" s="137">
        <f t="shared" si="116"/>
        <v>83.08046410613395</v>
      </c>
      <c r="Y164" s="137">
        <f t="shared" si="116"/>
        <v>164.62534440933626</v>
      </c>
      <c r="Z164" s="137">
        <f>Y164</f>
        <v>164.62534440933626</v>
      </c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7"/>
      <c r="CS164" s="137"/>
      <c r="CT164" s="137"/>
      <c r="CU164" s="137"/>
      <c r="CV164" s="137"/>
      <c r="CW164" s="137"/>
      <c r="CX164" s="137"/>
      <c r="CY164" s="137"/>
      <c r="CZ164" s="137"/>
      <c r="DA164" s="137"/>
      <c r="DB164" s="137"/>
      <c r="DC164" s="137"/>
      <c r="DD164" s="137"/>
      <c r="DE164" s="137"/>
      <c r="DF164" s="137"/>
      <c r="DG164" s="137"/>
      <c r="DH164" s="137"/>
      <c r="DI164" s="137"/>
      <c r="DJ164" s="137"/>
      <c r="DK164" s="137"/>
      <c r="DL164" s="137"/>
      <c r="DM164" s="137"/>
      <c r="DN164" s="137"/>
      <c r="DO164" s="137"/>
      <c r="DP164" s="137"/>
      <c r="DQ164" s="137"/>
      <c r="DR164" s="137"/>
      <c r="DS164" s="137"/>
      <c r="DT164" s="137"/>
      <c r="DU164" s="137"/>
      <c r="DV164" s="137"/>
      <c r="DW164" s="137"/>
      <c r="DX164" s="137"/>
      <c r="DY164" s="137"/>
      <c r="DZ164" s="137"/>
      <c r="EA164" s="137"/>
      <c r="EB164" s="137"/>
      <c r="EC164" s="137"/>
      <c r="ED164" s="137"/>
      <c r="EE164" s="137"/>
      <c r="EF164" s="137"/>
      <c r="EG164" s="137"/>
      <c r="EH164" s="137"/>
      <c r="EI164" s="137"/>
      <c r="EJ164" s="137"/>
      <c r="EK164" s="137"/>
      <c r="EL164" s="137"/>
      <c r="EM164" s="137"/>
      <c r="EN164" s="137"/>
      <c r="EO164" s="137"/>
      <c r="EP164" s="137"/>
      <c r="EQ164" s="137"/>
      <c r="ER164" s="137"/>
      <c r="ES164" s="137"/>
      <c r="ET164" s="137"/>
      <c r="EU164" s="137"/>
      <c r="EV164" s="137"/>
      <c r="EW164" s="137"/>
      <c r="EX164" s="137"/>
      <c r="EY164" s="137"/>
      <c r="EZ164" s="137"/>
      <c r="FA164" s="137"/>
      <c r="FB164" s="137"/>
      <c r="FC164" s="137"/>
      <c r="FD164" s="137"/>
      <c r="FE164" s="137"/>
      <c r="FF164" s="137"/>
      <c r="FG164" s="137"/>
      <c r="FH164" s="137"/>
      <c r="FI164" s="137"/>
      <c r="FJ164" s="137"/>
      <c r="FK164" s="137"/>
      <c r="FL164" s="137"/>
      <c r="FM164" s="137"/>
      <c r="FN164" s="137"/>
      <c r="FO164" s="137"/>
      <c r="FP164" s="137"/>
      <c r="FQ164" s="137"/>
      <c r="FR164" s="137"/>
      <c r="FS164" s="137"/>
      <c r="FT164" s="137"/>
      <c r="FU164" s="137"/>
      <c r="FV164" s="137"/>
      <c r="FW164" s="137"/>
      <c r="FX164" s="137"/>
      <c r="FY164" s="137"/>
      <c r="FZ164" s="137"/>
      <c r="GB164" s="139"/>
      <c r="GC164" s="139"/>
      <c r="GD164" s="139"/>
      <c r="GE164" s="139"/>
      <c r="GF164" s="139"/>
      <c r="GG164" s="139"/>
      <c r="GH164" s="139"/>
      <c r="GI164" s="139"/>
      <c r="GJ164" s="139"/>
      <c r="GK164" s="139"/>
      <c r="GL164" s="139"/>
      <c r="GM164" s="139"/>
      <c r="GN164" s="139"/>
      <c r="GO164" s="139"/>
      <c r="GP164" s="139"/>
      <c r="GQ164" s="139"/>
      <c r="GR164" s="139"/>
      <c r="GS164" s="139"/>
      <c r="GT164" s="139"/>
      <c r="GU164" s="139"/>
      <c r="GV164" s="139"/>
      <c r="GW164" s="139"/>
      <c r="GX164" s="139"/>
      <c r="GY164" s="139"/>
      <c r="GZ164" s="139"/>
      <c r="HA164" s="139"/>
      <c r="HB164" s="139"/>
      <c r="HC164" s="139"/>
      <c r="HD164" s="139"/>
      <c r="HE164" s="139"/>
      <c r="HF164" s="139"/>
      <c r="HG164" s="139"/>
      <c r="HH164" s="139"/>
      <c r="HI164" s="139"/>
      <c r="HJ164" s="139"/>
      <c r="HK164" s="139"/>
      <c r="HL164" s="139"/>
      <c r="HM164" s="139"/>
      <c r="HN164" s="139"/>
      <c r="HO164" s="139"/>
      <c r="HP164" s="139"/>
      <c r="HQ164" s="139"/>
      <c r="HR164" s="139"/>
      <c r="HS164" s="139"/>
      <c r="HT164" s="139"/>
      <c r="HU164" s="139"/>
      <c r="HV164" s="139"/>
      <c r="HW164" s="139"/>
      <c r="HX164" s="139"/>
      <c r="HY164" s="139"/>
      <c r="HZ164" s="139"/>
      <c r="IA164" s="139"/>
      <c r="IB164" s="139"/>
      <c r="IC164" s="139"/>
      <c r="ID164" s="139"/>
      <c r="IE164" s="139"/>
      <c r="IF164" s="139"/>
      <c r="IG164" s="139"/>
      <c r="IH164" s="139"/>
      <c r="II164" s="139"/>
      <c r="IJ164" s="139"/>
      <c r="IK164" s="139"/>
      <c r="IL164" s="139"/>
      <c r="IM164" s="139"/>
      <c r="IN164" s="139"/>
      <c r="IO164" s="139"/>
      <c r="IP164" s="139"/>
      <c r="IQ164" s="139"/>
      <c r="IR164" s="139"/>
      <c r="IS164" s="139"/>
      <c r="IT164" s="139"/>
      <c r="IU164" s="139"/>
    </row>
    <row r="165" spans="1:182" s="43" customFormat="1" ht="15.75">
      <c r="A165" s="26" t="s">
        <v>204</v>
      </c>
      <c r="B165" s="131">
        <f aca="true" t="shared" si="117" ref="B165:Z165">$D$17*B118</f>
        <v>-2.5443126703867405</v>
      </c>
      <c r="C165" s="76">
        <f t="shared" si="117"/>
        <v>-5.224998443043395</v>
      </c>
      <c r="D165" s="76">
        <f t="shared" si="117"/>
        <v>-6.527337622030487</v>
      </c>
      <c r="E165" s="76">
        <f t="shared" si="117"/>
        <v>-6.603721763076468</v>
      </c>
      <c r="F165" s="76">
        <f t="shared" si="117"/>
        <v>-5.671015552046008</v>
      </c>
      <c r="G165" s="76">
        <f t="shared" si="117"/>
        <v>-4.030842888807817</v>
      </c>
      <c r="H165" s="76">
        <f t="shared" si="117"/>
        <v>-2.0694098973807917</v>
      </c>
      <c r="I165" s="76">
        <f t="shared" si="117"/>
        <v>-0.20907013684371367</v>
      </c>
      <c r="J165" s="76">
        <f t="shared" si="117"/>
        <v>1.1795763969120379</v>
      </c>
      <c r="K165" s="76">
        <f t="shared" si="117"/>
        <v>1.8505366817017708</v>
      </c>
      <c r="L165" s="76">
        <f t="shared" si="117"/>
        <v>1.6790768411525998</v>
      </c>
      <c r="M165" s="76">
        <f t="shared" si="117"/>
        <v>0.5776192941806559</v>
      </c>
      <c r="N165" s="76">
        <f t="shared" si="117"/>
        <v>-1.6005279194846733</v>
      </c>
      <c r="O165" s="76">
        <f t="shared" si="117"/>
        <v>-5.045806410262718</v>
      </c>
      <c r="P165" s="76">
        <f t="shared" si="117"/>
        <v>-9.658757490240678</v>
      </c>
      <c r="Q165" s="76">
        <f t="shared" si="117"/>
        <v>-14.131065689896252</v>
      </c>
      <c r="R165" s="76">
        <f t="shared" si="117"/>
        <v>-14.767687466269928</v>
      </c>
      <c r="S165" s="76">
        <f t="shared" si="117"/>
        <v>-6.578438234723658</v>
      </c>
      <c r="T165" s="76">
        <f t="shared" si="117"/>
        <v>10.473219344801233</v>
      </c>
      <c r="U165" s="76">
        <f t="shared" si="117"/>
        <v>27.059033957081372</v>
      </c>
      <c r="V165" s="76">
        <f t="shared" si="117"/>
        <v>33.185754369736685</v>
      </c>
      <c r="W165" s="76">
        <f t="shared" si="117"/>
        <v>28.187219615433815</v>
      </c>
      <c r="X165" s="76">
        <f t="shared" si="117"/>
        <v>17.4306025603005</v>
      </c>
      <c r="Y165" s="76">
        <f t="shared" si="117"/>
        <v>5.635039537290483</v>
      </c>
      <c r="Z165" s="76">
        <f t="shared" si="117"/>
        <v>5.635039537290483</v>
      </c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</row>
    <row r="166" spans="1:182" s="43" customFormat="1" ht="15.75">
      <c r="A166" s="26" t="s">
        <v>205</v>
      </c>
      <c r="B166" s="131">
        <f aca="true" t="shared" si="118" ref="B166:Z166">$D$17*B119</f>
        <v>-9.49550415622456</v>
      </c>
      <c r="C166" s="76">
        <f t="shared" si="118"/>
        <v>-19.499959658906228</v>
      </c>
      <c r="D166" s="76">
        <f t="shared" si="118"/>
        <v>-24.360355643573595</v>
      </c>
      <c r="E166" s="76">
        <f t="shared" si="118"/>
        <v>-24.645425138849703</v>
      </c>
      <c r="F166" s="76">
        <f t="shared" si="118"/>
        <v>-21.164518170748966</v>
      </c>
      <c r="G166" s="76">
        <f t="shared" si="118"/>
        <v>-15.043310458358484</v>
      </c>
      <c r="H166" s="76">
        <f t="shared" si="118"/>
        <v>-7.723142878711013</v>
      </c>
      <c r="I166" s="76">
        <f t="shared" si="118"/>
        <v>-0.7802603730461173</v>
      </c>
      <c r="J166" s="76">
        <f t="shared" si="118"/>
        <v>4.402239044684758</v>
      </c>
      <c r="K166" s="76">
        <f t="shared" si="118"/>
        <v>6.906296917380924</v>
      </c>
      <c r="L166" s="76">
        <f t="shared" si="118"/>
        <v>6.266400080993759</v>
      </c>
      <c r="M166" s="76">
        <f t="shared" si="118"/>
        <v>2.155704553314282</v>
      </c>
      <c r="N166" s="76">
        <f t="shared" si="118"/>
        <v>-5.97325151444931</v>
      </c>
      <c r="O166" s="76">
        <f t="shared" si="118"/>
        <v>-18.831205888257195</v>
      </c>
      <c r="P166" s="76">
        <f t="shared" si="118"/>
        <v>-36.046973691564666</v>
      </c>
      <c r="Q166" s="76">
        <f t="shared" si="118"/>
        <v>-52.73785511978616</v>
      </c>
      <c r="R166" s="76">
        <f t="shared" si="118"/>
        <v>-55.11375993441747</v>
      </c>
      <c r="S166" s="76">
        <f t="shared" si="118"/>
        <v>-24.55106572644241</v>
      </c>
      <c r="T166" s="76">
        <f t="shared" si="118"/>
        <v>39.08658671361143</v>
      </c>
      <c r="U166" s="76">
        <f t="shared" si="118"/>
        <v>100.9856895315592</v>
      </c>
      <c r="V166" s="76">
        <f t="shared" si="118"/>
        <v>123.85092139535821</v>
      </c>
      <c r="W166" s="76">
        <f t="shared" si="118"/>
        <v>105.19613572890107</v>
      </c>
      <c r="X166" s="76">
        <f t="shared" si="118"/>
        <v>65.05189436158163</v>
      </c>
      <c r="Y166" s="76">
        <f t="shared" si="118"/>
        <v>21.0302538558275</v>
      </c>
      <c r="Z166" s="76">
        <f t="shared" si="118"/>
        <v>21.0302538558275</v>
      </c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</row>
    <row r="167" spans="1:182" s="43" customFormat="1" ht="15.75">
      <c r="A167" s="26" t="s">
        <v>206</v>
      </c>
      <c r="B167" s="131">
        <v>0</v>
      </c>
      <c r="C167" s="76">
        <v>0</v>
      </c>
      <c r="D167" s="76">
        <v>0</v>
      </c>
      <c r="E167" s="76">
        <v>0</v>
      </c>
      <c r="F167" s="131">
        <v>0</v>
      </c>
      <c r="G167" s="76">
        <v>0</v>
      </c>
      <c r="H167" s="76">
        <v>0</v>
      </c>
      <c r="I167" s="76">
        <v>0</v>
      </c>
      <c r="J167" s="131">
        <v>0</v>
      </c>
      <c r="K167" s="76">
        <v>0</v>
      </c>
      <c r="L167" s="131">
        <v>0</v>
      </c>
      <c r="M167" s="76">
        <v>0</v>
      </c>
      <c r="N167" s="76">
        <v>0</v>
      </c>
      <c r="O167" s="76">
        <v>0</v>
      </c>
      <c r="P167" s="131">
        <v>0</v>
      </c>
      <c r="Q167" s="76">
        <v>0</v>
      </c>
      <c r="R167" s="76">
        <v>0</v>
      </c>
      <c r="S167" s="76">
        <v>0</v>
      </c>
      <c r="T167" s="131">
        <v>0</v>
      </c>
      <c r="U167" s="76">
        <v>0</v>
      </c>
      <c r="V167" s="131">
        <v>0</v>
      </c>
      <c r="W167" s="76">
        <v>0</v>
      </c>
      <c r="X167" s="76">
        <v>0</v>
      </c>
      <c r="Y167" s="76">
        <v>0</v>
      </c>
      <c r="Z167" s="131">
        <v>0</v>
      </c>
      <c r="AA167" s="76"/>
      <c r="AB167" s="76"/>
      <c r="AC167" s="76"/>
      <c r="AD167" s="131"/>
      <c r="AE167" s="76"/>
      <c r="AF167" s="131"/>
      <c r="AG167" s="76"/>
      <c r="AH167" s="76"/>
      <c r="AI167" s="76"/>
      <c r="AJ167" s="131"/>
      <c r="AK167" s="76"/>
      <c r="AL167" s="76"/>
      <c r="AM167" s="76"/>
      <c r="AN167" s="131"/>
      <c r="AO167" s="76"/>
      <c r="AP167" s="131"/>
      <c r="AQ167" s="76"/>
      <c r="AR167" s="76"/>
      <c r="AS167" s="76"/>
      <c r="AT167" s="131"/>
      <c r="AU167" s="76"/>
      <c r="AV167" s="76"/>
      <c r="AW167" s="76"/>
      <c r="AX167" s="131"/>
      <c r="AY167" s="76"/>
      <c r="AZ167" s="131"/>
      <c r="BA167" s="76"/>
      <c r="BB167" s="76"/>
      <c r="BC167" s="76"/>
      <c r="BD167" s="131"/>
      <c r="BE167" s="76"/>
      <c r="BF167" s="76"/>
      <c r="BG167" s="76"/>
      <c r="BH167" s="131"/>
      <c r="BI167" s="76"/>
      <c r="BJ167" s="131"/>
      <c r="BK167" s="76"/>
      <c r="BL167" s="76"/>
      <c r="BM167" s="76"/>
      <c r="BN167" s="131"/>
      <c r="BO167" s="76"/>
      <c r="BP167" s="76"/>
      <c r="BQ167" s="76"/>
      <c r="BR167" s="131"/>
      <c r="BS167" s="76"/>
      <c r="BT167" s="131"/>
      <c r="BU167" s="76"/>
      <c r="BV167" s="76"/>
      <c r="BW167" s="76"/>
      <c r="BX167" s="131"/>
      <c r="BY167" s="76"/>
      <c r="BZ167" s="76"/>
      <c r="CA167" s="76"/>
      <c r="CB167" s="131"/>
      <c r="CC167" s="76"/>
      <c r="CD167" s="131"/>
      <c r="CE167" s="76"/>
      <c r="CF167" s="76"/>
      <c r="CG167" s="76"/>
      <c r="CH167" s="131"/>
      <c r="CI167" s="76"/>
      <c r="CJ167" s="76"/>
      <c r="CK167" s="76"/>
      <c r="CL167" s="131"/>
      <c r="CM167" s="76"/>
      <c r="CN167" s="131"/>
      <c r="CO167" s="76"/>
      <c r="CP167" s="76"/>
      <c r="CQ167" s="76"/>
      <c r="CR167" s="131"/>
      <c r="CS167" s="76"/>
      <c r="CT167" s="76"/>
      <c r="CU167" s="76"/>
      <c r="CV167" s="131"/>
      <c r="CW167" s="76"/>
      <c r="CX167" s="131"/>
      <c r="CY167" s="76"/>
      <c r="CZ167" s="76"/>
      <c r="DA167" s="76"/>
      <c r="DB167" s="131"/>
      <c r="DC167" s="76"/>
      <c r="DD167" s="76"/>
      <c r="DE167" s="76"/>
      <c r="DF167" s="131"/>
      <c r="DG167" s="76"/>
      <c r="DH167" s="131"/>
      <c r="DI167" s="76"/>
      <c r="DJ167" s="76"/>
      <c r="DK167" s="76"/>
      <c r="DL167" s="131"/>
      <c r="DM167" s="76"/>
      <c r="DN167" s="76"/>
      <c r="DO167" s="76"/>
      <c r="DP167" s="131"/>
      <c r="DQ167" s="76"/>
      <c r="DR167" s="131"/>
      <c r="DS167" s="76"/>
      <c r="DT167" s="76"/>
      <c r="DU167" s="76"/>
      <c r="DV167" s="131"/>
      <c r="DW167" s="76"/>
      <c r="DX167" s="76"/>
      <c r="DY167" s="76"/>
      <c r="DZ167" s="131"/>
      <c r="EA167" s="76"/>
      <c r="EB167" s="131"/>
      <c r="EC167" s="76"/>
      <c r="ED167" s="76"/>
      <c r="EE167" s="76"/>
      <c r="EF167" s="131"/>
      <c r="EG167" s="76"/>
      <c r="EH167" s="76"/>
      <c r="EI167" s="76"/>
      <c r="EJ167" s="131"/>
      <c r="EK167" s="76"/>
      <c r="EL167" s="131"/>
      <c r="EM167" s="76"/>
      <c r="EN167" s="76"/>
      <c r="EO167" s="76"/>
      <c r="EP167" s="131"/>
      <c r="EQ167" s="76"/>
      <c r="ER167" s="76"/>
      <c r="ES167" s="76"/>
      <c r="ET167" s="131"/>
      <c r="EU167" s="76"/>
      <c r="EV167" s="131"/>
      <c r="EW167" s="76"/>
      <c r="EX167" s="76"/>
      <c r="EY167" s="76"/>
      <c r="EZ167" s="131"/>
      <c r="FA167" s="76"/>
      <c r="FB167" s="76"/>
      <c r="FC167" s="76"/>
      <c r="FD167" s="131"/>
      <c r="FE167" s="76"/>
      <c r="FF167" s="131"/>
      <c r="FG167" s="76"/>
      <c r="FH167" s="76"/>
      <c r="FI167" s="76"/>
      <c r="FJ167" s="131"/>
      <c r="FK167" s="76"/>
      <c r="FL167" s="76"/>
      <c r="FM167" s="76"/>
      <c r="FN167" s="131"/>
      <c r="FO167" s="76"/>
      <c r="FP167" s="131"/>
      <c r="FQ167" s="76"/>
      <c r="FR167" s="76"/>
      <c r="FS167" s="76"/>
      <c r="FT167" s="131"/>
      <c r="FU167" s="76"/>
      <c r="FV167" s="76"/>
      <c r="FW167" s="76"/>
      <c r="FX167" s="131"/>
      <c r="FY167" s="76"/>
      <c r="FZ167" s="131"/>
    </row>
    <row r="168" spans="1:182" s="43" customFormat="1" ht="12.75">
      <c r="A168" s="24" t="s">
        <v>207</v>
      </c>
      <c r="B168" s="131">
        <f aca="true" t="shared" si="119" ref="B168:Y168">(C164-B164)/RADIANS($F$12)*B29</f>
        <v>-52.564255699293724</v>
      </c>
      <c r="C168" s="76">
        <f t="shared" si="119"/>
        <v>-92.08073886550419</v>
      </c>
      <c r="D168" s="76">
        <f t="shared" si="119"/>
        <v>-85.09515635230044</v>
      </c>
      <c r="E168" s="76">
        <f t="shared" si="119"/>
        <v>-52.378294812318835</v>
      </c>
      <c r="F168" s="76">
        <f t="shared" si="119"/>
        <v>-18.083566634123</v>
      </c>
      <c r="G168" s="76">
        <f t="shared" si="119"/>
        <v>2.130847086648203</v>
      </c>
      <c r="H168" s="76">
        <f t="shared" si="119"/>
        <v>5.882015657412744</v>
      </c>
      <c r="I168" s="76">
        <f t="shared" si="119"/>
        <v>0.7732039863379282</v>
      </c>
      <c r="J168" s="76">
        <f t="shared" si="119"/>
        <v>-3.9465421278788395</v>
      </c>
      <c r="K168" s="76">
        <f t="shared" si="119"/>
        <v>-4.169677299146071</v>
      </c>
      <c r="L168" s="76">
        <f t="shared" si="119"/>
        <v>-1.6817759008855409</v>
      </c>
      <c r="M168" s="76">
        <f t="shared" si="119"/>
        <v>-0.12361196665436346</v>
      </c>
      <c r="N168" s="76">
        <f t="shared" si="119"/>
        <v>0.8853481037807361</v>
      </c>
      <c r="O168" s="76">
        <f t="shared" si="119"/>
        <v>13.856764972086184</v>
      </c>
      <c r="P168" s="76">
        <f t="shared" si="119"/>
        <v>72.38871644613543</v>
      </c>
      <c r="Q168" s="76">
        <f t="shared" si="119"/>
        <v>211.98593579574074</v>
      </c>
      <c r="R168" s="76">
        <f t="shared" si="119"/>
        <v>353.1289354215693</v>
      </c>
      <c r="S168" s="76">
        <f t="shared" si="119"/>
        <v>199.73210472334387</v>
      </c>
      <c r="T168" s="76">
        <f t="shared" si="119"/>
        <v>-306.71344983303885</v>
      </c>
      <c r="U168" s="76">
        <f t="shared" si="119"/>
        <v>-504.22911634399367</v>
      </c>
      <c r="V168" s="76">
        <f t="shared" si="119"/>
        <v>-63.21286028190981</v>
      </c>
      <c r="W168" s="76">
        <f t="shared" si="119"/>
        <v>415.41439647514426</v>
      </c>
      <c r="X168" s="76">
        <f t="shared" si="119"/>
        <v>467.3706544724045</v>
      </c>
      <c r="Y168" s="76">
        <f t="shared" si="119"/>
        <v>0</v>
      </c>
      <c r="Z168" s="76">
        <f>Y168</f>
        <v>0</v>
      </c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</row>
    <row r="169" spans="1:182" s="43" customFormat="1" ht="13.5" customHeight="1">
      <c r="A169" s="24" t="s">
        <v>208</v>
      </c>
      <c r="B169" s="131">
        <f aca="true" t="shared" si="120" ref="B169:Y169">B165*B114+B166*B117</f>
        <v>-55.094235925590404</v>
      </c>
      <c r="C169" s="76">
        <f t="shared" si="120"/>
        <v>-102.75034766284294</v>
      </c>
      <c r="D169" s="76">
        <f t="shared" si="120"/>
        <v>-101.70298382642798</v>
      </c>
      <c r="E169" s="76">
        <f t="shared" si="120"/>
        <v>-69.2887805713159</v>
      </c>
      <c r="F169" s="76">
        <f t="shared" si="120"/>
        <v>-30.45835423639684</v>
      </c>
      <c r="G169" s="76">
        <f t="shared" si="120"/>
        <v>-4.057684404692253</v>
      </c>
      <c r="H169" s="76">
        <f t="shared" si="120"/>
        <v>4.271117690334842</v>
      </c>
      <c r="I169" s="76">
        <f t="shared" si="120"/>
        <v>0.7570005723917378</v>
      </c>
      <c r="J169" s="76">
        <f t="shared" si="120"/>
        <v>-4.453846689825974</v>
      </c>
      <c r="K169" s="76">
        <f t="shared" si="120"/>
        <v>-5.395526130825023</v>
      </c>
      <c r="L169" s="76">
        <f t="shared" si="120"/>
        <v>-2.67107064287115</v>
      </c>
      <c r="M169" s="76">
        <f t="shared" si="120"/>
        <v>-0.23822047236540309</v>
      </c>
      <c r="N169" s="76">
        <f t="shared" si="120"/>
        <v>0.024947730723261945</v>
      </c>
      <c r="O169" s="76">
        <f t="shared" si="120"/>
        <v>5.503627114466571</v>
      </c>
      <c r="P169" s="76">
        <f t="shared" si="120"/>
        <v>42.51452550332172</v>
      </c>
      <c r="Q169" s="76">
        <f t="shared" si="120"/>
        <v>149.61384664778538</v>
      </c>
      <c r="R169" s="76">
        <f t="shared" si="120"/>
        <v>286.71818921120166</v>
      </c>
      <c r="S169" s="76">
        <f t="shared" si="120"/>
        <v>186.88883340300208</v>
      </c>
      <c r="T169" s="76">
        <f t="shared" si="120"/>
        <v>-338.431168792854</v>
      </c>
      <c r="U169" s="76">
        <f t="shared" si="120"/>
        <v>-710.4901152905429</v>
      </c>
      <c r="V169" s="76">
        <f t="shared" si="120"/>
        <v>-365.43421208785156</v>
      </c>
      <c r="W169" s="76">
        <f t="shared" si="120"/>
        <v>203.00833802003746</v>
      </c>
      <c r="X169" s="76">
        <f t="shared" si="120"/>
        <v>388.2358380293848</v>
      </c>
      <c r="Y169" s="76">
        <f t="shared" si="120"/>
        <v>176.67661948577404</v>
      </c>
      <c r="Z169" s="76">
        <f>Y169</f>
        <v>176.67661948577404</v>
      </c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</row>
    <row r="170" spans="1:182" s="43" customFormat="1" ht="13.5" customHeight="1">
      <c r="A170" s="24" t="s">
        <v>219</v>
      </c>
      <c r="B170" s="131">
        <f aca="true" t="shared" si="121" ref="B170:Y170">$D$17*B117*$F$13</f>
        <v>265.53067785291535</v>
      </c>
      <c r="C170" s="131">
        <f t="shared" si="121"/>
        <v>241.143830366716</v>
      </c>
      <c r="D170" s="131">
        <f t="shared" si="121"/>
        <v>191.06302008377224</v>
      </c>
      <c r="E170" s="131">
        <f t="shared" si="121"/>
        <v>128.6628513797247</v>
      </c>
      <c r="F170" s="131">
        <f t="shared" si="121"/>
        <v>65.86043811660247</v>
      </c>
      <c r="G170" s="131">
        <f t="shared" si="121"/>
        <v>12.3441563923756</v>
      </c>
      <c r="H170" s="131">
        <f t="shared" si="121"/>
        <v>-25.308944711253382</v>
      </c>
      <c r="I170" s="131">
        <f t="shared" si="121"/>
        <v>-44.40002603476939</v>
      </c>
      <c r="J170" s="131">
        <f t="shared" si="121"/>
        <v>-46.30076964660027</v>
      </c>
      <c r="K170" s="131">
        <f t="shared" si="121"/>
        <v>-35.75321680108392</v>
      </c>
      <c r="L170" s="131">
        <f t="shared" si="121"/>
        <v>-19.50714997398424</v>
      </c>
      <c r="M170" s="131">
        <f t="shared" si="121"/>
        <v>-5.057273141342001</v>
      </c>
      <c r="N170" s="131">
        <f t="shared" si="121"/>
        <v>-0.19113790160717598</v>
      </c>
      <c r="O170" s="131">
        <f t="shared" si="121"/>
        <v>-13.375112321765123</v>
      </c>
      <c r="P170" s="131">
        <f t="shared" si="121"/>
        <v>-53.97530370870632</v>
      </c>
      <c r="Q170" s="131">
        <f t="shared" si="121"/>
        <v>-129.83025022877365</v>
      </c>
      <c r="R170" s="131">
        <f t="shared" si="121"/>
        <v>-238.07937452853028</v>
      </c>
      <c r="S170" s="131">
        <f t="shared" si="121"/>
        <v>-348.3690562765589</v>
      </c>
      <c r="T170" s="131">
        <f t="shared" si="121"/>
        <v>-396.2499085233409</v>
      </c>
      <c r="U170" s="131">
        <f t="shared" si="121"/>
        <v>-321.97694317428676</v>
      </c>
      <c r="V170" s="131">
        <f t="shared" si="121"/>
        <v>-135.0319470156084</v>
      </c>
      <c r="W170" s="131">
        <f t="shared" si="121"/>
        <v>88.31625747179592</v>
      </c>
      <c r="X170" s="131">
        <f t="shared" si="121"/>
        <v>273.1254956543084</v>
      </c>
      <c r="Y170" s="131">
        <f t="shared" si="121"/>
        <v>384.4688279660287</v>
      </c>
      <c r="Z170" s="76">
        <f>Y170</f>
        <v>384.4688279660287</v>
      </c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31"/>
      <c r="CI170" s="131"/>
      <c r="CJ170" s="131"/>
      <c r="CK170" s="131"/>
      <c r="CL170" s="13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  <c r="CW170" s="131"/>
      <c r="CX170" s="131"/>
      <c r="CY170" s="131"/>
      <c r="CZ170" s="131"/>
      <c r="DA170" s="131"/>
      <c r="DB170" s="131"/>
      <c r="DC170" s="131"/>
      <c r="DD170" s="131"/>
      <c r="DE170" s="131"/>
      <c r="DF170" s="131"/>
      <c r="DG170" s="131"/>
      <c r="DH170" s="131"/>
      <c r="DI170" s="131"/>
      <c r="DJ170" s="131"/>
      <c r="DK170" s="131"/>
      <c r="DL170" s="131"/>
      <c r="DM170" s="131"/>
      <c r="DN170" s="131"/>
      <c r="DO170" s="131"/>
      <c r="DP170" s="131"/>
      <c r="DQ170" s="131"/>
      <c r="DR170" s="131"/>
      <c r="DS170" s="131"/>
      <c r="DT170" s="131"/>
      <c r="DU170" s="131"/>
      <c r="DV170" s="131"/>
      <c r="DW170" s="131"/>
      <c r="DX170" s="131"/>
      <c r="DY170" s="131"/>
      <c r="DZ170" s="131"/>
      <c r="EA170" s="131"/>
      <c r="EB170" s="131"/>
      <c r="EC170" s="131"/>
      <c r="ED170" s="131"/>
      <c r="EE170" s="131"/>
      <c r="EF170" s="131"/>
      <c r="EG170" s="131"/>
      <c r="EH170" s="131"/>
      <c r="EI170" s="131"/>
      <c r="EJ170" s="131"/>
      <c r="EK170" s="131"/>
      <c r="EL170" s="131"/>
      <c r="EM170" s="131"/>
      <c r="EN170" s="131"/>
      <c r="EO170" s="131"/>
      <c r="EP170" s="131"/>
      <c r="EQ170" s="131"/>
      <c r="ER170" s="131"/>
      <c r="ES170" s="131"/>
      <c r="ET170" s="131"/>
      <c r="EU170" s="131"/>
      <c r="EV170" s="131"/>
      <c r="EW170" s="131"/>
      <c r="EX170" s="131"/>
      <c r="EY170" s="131"/>
      <c r="EZ170" s="131"/>
      <c r="FA170" s="131"/>
      <c r="FB170" s="131"/>
      <c r="FC170" s="131"/>
      <c r="FD170" s="131"/>
      <c r="FE170" s="131"/>
      <c r="FF170" s="131"/>
      <c r="FG170" s="131"/>
      <c r="FH170" s="131"/>
      <c r="FI170" s="131"/>
      <c r="FJ170" s="131"/>
      <c r="FK170" s="131"/>
      <c r="FL170" s="131"/>
      <c r="FM170" s="131"/>
      <c r="FN170" s="131"/>
      <c r="FO170" s="131"/>
      <c r="FP170" s="131"/>
      <c r="FQ170" s="131"/>
      <c r="FR170" s="131"/>
      <c r="FS170" s="131"/>
      <c r="FT170" s="131"/>
      <c r="FU170" s="131"/>
      <c r="FV170" s="131"/>
      <c r="FW170" s="131"/>
      <c r="FX170" s="131"/>
      <c r="FY170" s="131"/>
      <c r="FZ170" s="131"/>
    </row>
    <row r="171" spans="1:182" s="64" customFormat="1" ht="13.5" customHeight="1" thickBot="1">
      <c r="A171" s="25" t="s">
        <v>209</v>
      </c>
      <c r="B171" s="132">
        <f>B169+B170</f>
        <v>210.43644192732495</v>
      </c>
      <c r="C171" s="132">
        <f>C169+C170</f>
        <v>138.39348270387308</v>
      </c>
      <c r="D171" s="132">
        <f>D169+D170</f>
        <v>89.36003625734426</v>
      </c>
      <c r="E171" s="77">
        <f aca="true" t="shared" si="122" ref="E171:Y171">E169+$D$17*E117*$F$13</f>
        <v>59.37407080840882</v>
      </c>
      <c r="F171" s="77">
        <f t="shared" si="122"/>
        <v>35.40208388020562</v>
      </c>
      <c r="G171" s="77">
        <f t="shared" si="122"/>
        <v>8.286471987683347</v>
      </c>
      <c r="H171" s="77">
        <f t="shared" si="122"/>
        <v>-21.03782702091854</v>
      </c>
      <c r="I171" s="77">
        <f t="shared" si="122"/>
        <v>-43.64302546237765</v>
      </c>
      <c r="J171" s="77">
        <f t="shared" si="122"/>
        <v>-50.754616336426245</v>
      </c>
      <c r="K171" s="77">
        <f t="shared" si="122"/>
        <v>-41.14874293190895</v>
      </c>
      <c r="L171" s="77">
        <f t="shared" si="122"/>
        <v>-22.17822061685539</v>
      </c>
      <c r="M171" s="77">
        <f t="shared" si="122"/>
        <v>-5.295493613707404</v>
      </c>
      <c r="N171" s="77">
        <f t="shared" si="122"/>
        <v>-0.16619017088391402</v>
      </c>
      <c r="O171" s="77">
        <f t="shared" si="122"/>
        <v>-7.8714852072985515</v>
      </c>
      <c r="P171" s="77">
        <f t="shared" si="122"/>
        <v>-11.4607782053846</v>
      </c>
      <c r="Q171" s="77">
        <f t="shared" si="122"/>
        <v>19.78359641901173</v>
      </c>
      <c r="R171" s="77">
        <f t="shared" si="122"/>
        <v>48.63881468267138</v>
      </c>
      <c r="S171" s="77">
        <f t="shared" si="122"/>
        <v>-161.48022287355684</v>
      </c>
      <c r="T171" s="77">
        <f t="shared" si="122"/>
        <v>-734.6810773161949</v>
      </c>
      <c r="U171" s="77">
        <f t="shared" si="122"/>
        <v>-1032.4670584648297</v>
      </c>
      <c r="V171" s="77">
        <f t="shared" si="122"/>
        <v>-500.46615910346</v>
      </c>
      <c r="W171" s="77">
        <f t="shared" si="122"/>
        <v>291.3245954918334</v>
      </c>
      <c r="X171" s="77">
        <f t="shared" si="122"/>
        <v>661.3613336836931</v>
      </c>
      <c r="Y171" s="77">
        <f t="shared" si="122"/>
        <v>561.1454474518027</v>
      </c>
      <c r="Z171" s="76">
        <f>Y171</f>
        <v>561.1454474518027</v>
      </c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</row>
    <row r="172" spans="9:182" ht="13.5" customHeight="1"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</row>
    <row r="173" spans="1:182" ht="13.5" thickBot="1">
      <c r="A173" s="32" t="s">
        <v>159</v>
      </c>
      <c r="AA173" s="41"/>
      <c r="FZ173" s="41"/>
    </row>
    <row r="174" spans="1:256" s="39" customFormat="1" ht="12.75">
      <c r="A174" s="22" t="s">
        <v>120</v>
      </c>
      <c r="B174" s="78">
        <f aca="true" t="shared" si="123" ref="B174:Y174">B129</f>
        <v>25.9898</v>
      </c>
      <c r="C174" s="79">
        <f t="shared" si="123"/>
        <v>25.989800000000002</v>
      </c>
      <c r="D174" s="79">
        <f t="shared" si="123"/>
        <v>26.126060405861324</v>
      </c>
      <c r="E174" s="79">
        <f t="shared" si="123"/>
        <v>26.399650005269233</v>
      </c>
      <c r="F174" s="79">
        <f t="shared" si="123"/>
        <v>26.811623642972783</v>
      </c>
      <c r="G174" s="79">
        <f t="shared" si="123"/>
        <v>27.362989353812186</v>
      </c>
      <c r="H174" s="79">
        <f t="shared" si="123"/>
        <v>28.05467804046668</v>
      </c>
      <c r="I174" s="79">
        <f t="shared" si="123"/>
        <v>28.88751795993377</v>
      </c>
      <c r="J174" s="79">
        <f t="shared" si="123"/>
        <v>29.862215712144636</v>
      </c>
      <c r="K174" s="79">
        <f t="shared" si="123"/>
        <v>30.979344650721853</v>
      </c>
      <c r="L174" s="79">
        <f t="shared" si="123"/>
        <v>32.239340806039685</v>
      </c>
      <c r="M174" s="79">
        <f t="shared" si="123"/>
        <v>33.64250566855307</v>
      </c>
      <c r="N174" s="79">
        <f t="shared" si="123"/>
        <v>35.1890146326029</v>
      </c>
      <c r="O174" s="79">
        <f t="shared" si="123"/>
        <v>36.87892959788911</v>
      </c>
      <c r="P174" s="79">
        <f t="shared" si="123"/>
        <v>38.71221416139565</v>
      </c>
      <c r="Q174" s="79">
        <f t="shared" si="123"/>
        <v>40.688749959081925</v>
      </c>
      <c r="R174" s="79">
        <f t="shared" si="123"/>
        <v>42.80835296630583</v>
      </c>
      <c r="S174" s="79">
        <f t="shared" si="123"/>
        <v>45.07078887052777</v>
      </c>
      <c r="T174" s="79">
        <f t="shared" si="123"/>
        <v>47.475786934112485</v>
      </c>
      <c r="U174" s="79">
        <f t="shared" si="123"/>
        <v>50.02305203237508</v>
      </c>
      <c r="V174" s="79">
        <f t="shared" si="123"/>
        <v>52.712274764013465</v>
      </c>
      <c r="W174" s="79">
        <f t="shared" si="123"/>
        <v>55.54313968365706</v>
      </c>
      <c r="X174" s="79">
        <f t="shared" si="123"/>
        <v>58.51533180464774</v>
      </c>
      <c r="Y174" s="79">
        <f t="shared" si="123"/>
        <v>61.62854157426257</v>
      </c>
      <c r="Z174" s="79">
        <f>Z129</f>
        <v>64.88246854461242</v>
      </c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79"/>
      <c r="CY174" s="79"/>
      <c r="CZ174" s="79"/>
      <c r="DA174" s="79"/>
      <c r="DB174" s="79"/>
      <c r="DC174" s="79"/>
      <c r="DD174" s="79"/>
      <c r="DE174" s="79"/>
      <c r="DF174" s="79"/>
      <c r="DG174" s="79"/>
      <c r="DH174" s="79"/>
      <c r="DI174" s="79"/>
      <c r="DJ174" s="79"/>
      <c r="DK174" s="79"/>
      <c r="DL174" s="79"/>
      <c r="DM174" s="79"/>
      <c r="DN174" s="79"/>
      <c r="DO174" s="79"/>
      <c r="DP174" s="79"/>
      <c r="DQ174" s="79"/>
      <c r="DR174" s="79"/>
      <c r="DS174" s="79"/>
      <c r="DT174" s="79"/>
      <c r="DU174" s="79"/>
      <c r="DV174" s="79"/>
      <c r="DW174" s="79"/>
      <c r="DX174" s="79"/>
      <c r="DY174" s="79"/>
      <c r="DZ174" s="79"/>
      <c r="EA174" s="79"/>
      <c r="EB174" s="79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79"/>
      <c r="ES174" s="79"/>
      <c r="ET174" s="79"/>
      <c r="EU174" s="79"/>
      <c r="EV174" s="79"/>
      <c r="EW174" s="79"/>
      <c r="EX174" s="79"/>
      <c r="EY174" s="79"/>
      <c r="EZ174" s="79"/>
      <c r="FA174" s="79"/>
      <c r="FB174" s="79"/>
      <c r="FC174" s="79"/>
      <c r="FD174" s="79"/>
      <c r="FE174" s="79"/>
      <c r="FF174" s="79"/>
      <c r="FG174" s="79"/>
      <c r="FH174" s="79"/>
      <c r="FI174" s="79"/>
      <c r="FJ174" s="79"/>
      <c r="FK174" s="79"/>
      <c r="FL174" s="79"/>
      <c r="FM174" s="79"/>
      <c r="FN174" s="79"/>
      <c r="FO174" s="79"/>
      <c r="FP174" s="79"/>
      <c r="FQ174" s="79"/>
      <c r="FR174" s="79"/>
      <c r="FS174" s="79"/>
      <c r="FT174" s="79"/>
      <c r="FU174" s="79"/>
      <c r="FV174" s="79"/>
      <c r="FW174" s="79"/>
      <c r="FX174" s="79"/>
      <c r="FY174" s="79"/>
      <c r="FZ174" s="79"/>
      <c r="GA174" s="79"/>
      <c r="GB174" s="79"/>
      <c r="GC174" s="79"/>
      <c r="GD174" s="79"/>
      <c r="GE174" s="79"/>
      <c r="GF174" s="79"/>
      <c r="GG174" s="79"/>
      <c r="GH174" s="79"/>
      <c r="GI174" s="79"/>
      <c r="GJ174" s="79"/>
      <c r="GK174" s="79"/>
      <c r="GL174" s="79"/>
      <c r="GM174" s="79"/>
      <c r="GN174" s="79"/>
      <c r="GO174" s="79"/>
      <c r="GP174" s="79"/>
      <c r="GQ174" s="79"/>
      <c r="GR174" s="79"/>
      <c r="GS174" s="79"/>
      <c r="GT174" s="79"/>
      <c r="GU174" s="79"/>
      <c r="GV174" s="79"/>
      <c r="GW174" s="79"/>
      <c r="GX174" s="79"/>
      <c r="GY174" s="79"/>
      <c r="GZ174" s="79"/>
      <c r="HA174" s="79"/>
      <c r="HB174" s="79"/>
      <c r="HC174" s="79"/>
      <c r="HD174" s="79"/>
      <c r="HE174" s="79"/>
      <c r="HF174" s="79"/>
      <c r="HG174" s="79"/>
      <c r="HH174" s="79"/>
      <c r="HI174" s="79"/>
      <c r="HJ174" s="79"/>
      <c r="HK174" s="79"/>
      <c r="HL174" s="79"/>
      <c r="HM174" s="79"/>
      <c r="HN174" s="79"/>
      <c r="HO174" s="79"/>
      <c r="HP174" s="79"/>
      <c r="HQ174" s="79"/>
      <c r="HR174" s="79"/>
      <c r="HS174" s="79"/>
      <c r="HT174" s="79"/>
      <c r="HU174" s="79"/>
      <c r="HV174" s="79"/>
      <c r="HW174" s="79"/>
      <c r="HX174" s="79"/>
      <c r="HY174" s="79"/>
      <c r="HZ174" s="79"/>
      <c r="IA174" s="79"/>
      <c r="IB174" s="79"/>
      <c r="IC174" s="79"/>
      <c r="ID174" s="79"/>
      <c r="IE174" s="79"/>
      <c r="IF174" s="79"/>
      <c r="IG174" s="79"/>
      <c r="IH174" s="79"/>
      <c r="II174" s="79"/>
      <c r="IJ174" s="79"/>
      <c r="IK174" s="79"/>
      <c r="IL174" s="79"/>
      <c r="IM174" s="79"/>
      <c r="IN174" s="79"/>
      <c r="IO174" s="79"/>
      <c r="IP174" s="79"/>
      <c r="IQ174" s="79"/>
      <c r="IR174" s="79"/>
      <c r="IS174" s="79"/>
      <c r="IT174" s="79"/>
      <c r="IU174" s="79"/>
      <c r="IV174" s="79"/>
    </row>
    <row r="175" spans="1:256" s="43" customFormat="1" ht="12.75">
      <c r="A175" s="24" t="s">
        <v>124</v>
      </c>
      <c r="B175" s="81">
        <f aca="true" t="shared" si="124" ref="B175:Y175">B137</f>
        <v>51.56428905839354</v>
      </c>
      <c r="C175" s="82">
        <f t="shared" si="124"/>
        <v>32.50300337836344</v>
      </c>
      <c r="D175" s="82">
        <f t="shared" si="124"/>
        <v>28.955109998897104</v>
      </c>
      <c r="E175" s="82">
        <f t="shared" si="124"/>
        <v>35.8436215806965</v>
      </c>
      <c r="F175" s="82">
        <f t="shared" si="124"/>
        <v>48.75610948095683</v>
      </c>
      <c r="G175" s="82">
        <f t="shared" si="124"/>
        <v>64.41391137225632</v>
      </c>
      <c r="H175" s="82">
        <f t="shared" si="124"/>
        <v>80.39514292377703</v>
      </c>
      <c r="I175" s="82">
        <f t="shared" si="124"/>
        <v>94.807484706682</v>
      </c>
      <c r="J175" s="82">
        <f t="shared" si="124"/>
        <v>106.10079110923873</v>
      </c>
      <c r="K175" s="82">
        <f t="shared" si="124"/>
        <v>113.02317558410957</v>
      </c>
      <c r="L175" s="82">
        <f t="shared" si="124"/>
        <v>114.66636341680562</v>
      </c>
      <c r="M175" s="82">
        <f t="shared" si="124"/>
        <v>110.54997361595974</v>
      </c>
      <c r="N175" s="82">
        <f t="shared" si="124"/>
        <v>100.75087979282367</v>
      </c>
      <c r="O175" s="82">
        <f t="shared" si="124"/>
        <v>86.17896062334447</v>
      </c>
      <c r="P175" s="82">
        <f t="shared" si="124"/>
        <v>69.20133885759587</v>
      </c>
      <c r="Q175" s="82">
        <f t="shared" si="124"/>
        <v>54.86161527124803</v>
      </c>
      <c r="R175" s="82">
        <f t="shared" si="124"/>
        <v>52.67945556876924</v>
      </c>
      <c r="S175" s="82">
        <f t="shared" si="124"/>
        <v>77.58686056843598</v>
      </c>
      <c r="T175" s="82">
        <f t="shared" si="124"/>
        <v>144.6216970855154</v>
      </c>
      <c r="U175" s="82">
        <f t="shared" si="124"/>
        <v>249.3322039565638</v>
      </c>
      <c r="V175" s="82">
        <f t="shared" si="124"/>
        <v>345.2278656377252</v>
      </c>
      <c r="W175" s="82">
        <f t="shared" si="124"/>
        <v>368.4174273629471</v>
      </c>
      <c r="X175" s="82">
        <f t="shared" si="124"/>
        <v>307.06112363703335</v>
      </c>
      <c r="Y175" s="82">
        <f t="shared" si="124"/>
        <v>209.97737699330597</v>
      </c>
      <c r="Z175" s="82">
        <f>Z137</f>
        <v>128.72813037639855</v>
      </c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82"/>
      <c r="DY175" s="82"/>
      <c r="DZ175" s="82"/>
      <c r="EA175" s="82"/>
      <c r="EB175" s="82"/>
      <c r="EC175" s="82"/>
      <c r="ED175" s="82"/>
      <c r="EE175" s="82"/>
      <c r="EF175" s="82"/>
      <c r="EG175" s="82"/>
      <c r="EH175" s="82"/>
      <c r="EI175" s="82"/>
      <c r="EJ175" s="82"/>
      <c r="EK175" s="82"/>
      <c r="EL175" s="82"/>
      <c r="EM175" s="82"/>
      <c r="EN175" s="82"/>
      <c r="EO175" s="82"/>
      <c r="EP175" s="82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2"/>
      <c r="FO175" s="82"/>
      <c r="FP175" s="82"/>
      <c r="FQ175" s="82"/>
      <c r="FR175" s="82"/>
      <c r="FS175" s="82"/>
      <c r="FT175" s="82"/>
      <c r="FU175" s="82"/>
      <c r="FV175" s="82"/>
      <c r="FW175" s="82"/>
      <c r="FX175" s="82"/>
      <c r="FY175" s="82"/>
      <c r="FZ175" s="82"/>
      <c r="GA175" s="82"/>
      <c r="GB175" s="82"/>
      <c r="GC175" s="82"/>
      <c r="GD175" s="82"/>
      <c r="GE175" s="82"/>
      <c r="GF175" s="82"/>
      <c r="GG175" s="82"/>
      <c r="GH175" s="82"/>
      <c r="GI175" s="82"/>
      <c r="GJ175" s="82"/>
      <c r="GK175" s="82"/>
      <c r="GL175" s="82"/>
      <c r="GM175" s="82"/>
      <c r="GN175" s="82"/>
      <c r="GO175" s="82"/>
      <c r="GP175" s="82"/>
      <c r="GQ175" s="82"/>
      <c r="GR175" s="82"/>
      <c r="GS175" s="82"/>
      <c r="GT175" s="82"/>
      <c r="GU175" s="82"/>
      <c r="GV175" s="82"/>
      <c r="GW175" s="82"/>
      <c r="GX175" s="82"/>
      <c r="GY175" s="82"/>
      <c r="GZ175" s="82"/>
      <c r="HA175" s="82"/>
      <c r="HB175" s="82"/>
      <c r="HC175" s="82"/>
      <c r="HD175" s="82"/>
      <c r="HE175" s="82"/>
      <c r="HF175" s="82"/>
      <c r="HG175" s="82"/>
      <c r="HH175" s="82"/>
      <c r="HI175" s="82"/>
      <c r="HJ175" s="82"/>
      <c r="HK175" s="82"/>
      <c r="HL175" s="82"/>
      <c r="HM175" s="82"/>
      <c r="HN175" s="82"/>
      <c r="HO175" s="82"/>
      <c r="HP175" s="82"/>
      <c r="HQ175" s="82"/>
      <c r="HR175" s="82"/>
      <c r="HS175" s="82"/>
      <c r="HT175" s="82"/>
      <c r="HU175" s="82"/>
      <c r="HV175" s="82"/>
      <c r="HW175" s="82"/>
      <c r="HX175" s="82"/>
      <c r="HY175" s="82"/>
      <c r="HZ175" s="82"/>
      <c r="IA175" s="82"/>
      <c r="IB175" s="82"/>
      <c r="IC175" s="82"/>
      <c r="ID175" s="82"/>
      <c r="IE175" s="82"/>
      <c r="IF175" s="82"/>
      <c r="IG175" s="82"/>
      <c r="IH175" s="82"/>
      <c r="II175" s="82"/>
      <c r="IJ175" s="82"/>
      <c r="IK175" s="82"/>
      <c r="IL175" s="82"/>
      <c r="IM175" s="82"/>
      <c r="IN175" s="82"/>
      <c r="IO175" s="82"/>
      <c r="IP175" s="82"/>
      <c r="IQ175" s="82"/>
      <c r="IR175" s="82"/>
      <c r="IS175" s="82"/>
      <c r="IT175" s="82"/>
      <c r="IU175" s="82"/>
      <c r="IV175" s="82"/>
    </row>
    <row r="176" spans="1:256" s="43" customFormat="1" ht="12.75">
      <c r="A176" s="24" t="s">
        <v>131</v>
      </c>
      <c r="B176" s="81">
        <f aca="true" t="shared" si="125" ref="B176:Y176">B145</f>
        <v>1.5277729356558554</v>
      </c>
      <c r="C176" s="82">
        <f t="shared" si="125"/>
        <v>14.800858649772486</v>
      </c>
      <c r="D176" s="82">
        <f t="shared" si="125"/>
        <v>32.947189655108645</v>
      </c>
      <c r="E176" s="82">
        <f t="shared" si="125"/>
        <v>48.67945885715298</v>
      </c>
      <c r="F176" s="82">
        <f t="shared" si="125"/>
        <v>58.464951315227275</v>
      </c>
      <c r="G176" s="82">
        <f t="shared" si="125"/>
        <v>61.27241555788678</v>
      </c>
      <c r="H176" s="82">
        <f t="shared" si="125"/>
        <v>57.63138509262466</v>
      </c>
      <c r="I176" s="82">
        <f t="shared" si="125"/>
        <v>49.08108691130463</v>
      </c>
      <c r="J176" s="82">
        <f t="shared" si="125"/>
        <v>37.72771405269471</v>
      </c>
      <c r="K176" s="82">
        <f t="shared" si="125"/>
        <v>25.749208974296145</v>
      </c>
      <c r="L176" s="82">
        <f t="shared" si="125"/>
        <v>14.94207233352094</v>
      </c>
      <c r="M176" s="82">
        <f t="shared" si="125"/>
        <v>6.527156336153896</v>
      </c>
      <c r="N176" s="82">
        <f t="shared" si="125"/>
        <v>1.3149718771594543</v>
      </c>
      <c r="O176" s="82">
        <f t="shared" si="125"/>
        <v>0.15426443764405645</v>
      </c>
      <c r="P176" s="82">
        <f t="shared" si="125"/>
        <v>4.549714686625556</v>
      </c>
      <c r="Q176" s="82">
        <f t="shared" si="125"/>
        <v>17.369400866386254</v>
      </c>
      <c r="R176" s="82">
        <f t="shared" si="125"/>
        <v>43.32632364062349</v>
      </c>
      <c r="S176" s="82">
        <f t="shared" si="125"/>
        <v>87.77248773731792</v>
      </c>
      <c r="T176" s="82">
        <f t="shared" si="125"/>
        <v>150.02439020867556</v>
      </c>
      <c r="U176" s="82">
        <f t="shared" si="125"/>
        <v>209.18400164354864</v>
      </c>
      <c r="V176" s="82">
        <f t="shared" si="125"/>
        <v>221.24241424107856</v>
      </c>
      <c r="W176" s="82">
        <f t="shared" si="125"/>
        <v>161.88036533383286</v>
      </c>
      <c r="X176" s="82">
        <f t="shared" si="125"/>
        <v>70.58630951140289</v>
      </c>
      <c r="Y176" s="82">
        <f t="shared" si="125"/>
        <v>9.807035048345284</v>
      </c>
      <c r="Z176" s="82">
        <f>Z145</f>
        <v>3.814022402673388</v>
      </c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  <c r="DV176" s="82"/>
      <c r="DW176" s="82"/>
      <c r="DX176" s="82"/>
      <c r="DY176" s="82"/>
      <c r="DZ176" s="82"/>
      <c r="EA176" s="82"/>
      <c r="EB176" s="82"/>
      <c r="EC176" s="82"/>
      <c r="ED176" s="82"/>
      <c r="EE176" s="82"/>
      <c r="EF176" s="82"/>
      <c r="EG176" s="82"/>
      <c r="EH176" s="82"/>
      <c r="EI176" s="82"/>
      <c r="EJ176" s="82"/>
      <c r="EK176" s="82"/>
      <c r="EL176" s="82"/>
      <c r="EM176" s="82"/>
      <c r="EN176" s="82"/>
      <c r="EO176" s="82"/>
      <c r="EP176" s="82"/>
      <c r="EQ176" s="82"/>
      <c r="ER176" s="82"/>
      <c r="ES176" s="82"/>
      <c r="ET176" s="82"/>
      <c r="EU176" s="82"/>
      <c r="EV176" s="82"/>
      <c r="EW176" s="82"/>
      <c r="EX176" s="82"/>
      <c r="EY176" s="82"/>
      <c r="EZ176" s="82"/>
      <c r="FA176" s="82"/>
      <c r="FB176" s="82"/>
      <c r="FC176" s="82"/>
      <c r="FD176" s="82"/>
      <c r="FE176" s="82"/>
      <c r="FF176" s="82"/>
      <c r="FG176" s="82"/>
      <c r="FH176" s="82"/>
      <c r="FI176" s="82"/>
      <c r="FJ176" s="82"/>
      <c r="FK176" s="82"/>
      <c r="FL176" s="82"/>
      <c r="FM176" s="82"/>
      <c r="FN176" s="82"/>
      <c r="FO176" s="82"/>
      <c r="FP176" s="82"/>
      <c r="FQ176" s="82"/>
      <c r="FR176" s="82"/>
      <c r="FS176" s="82"/>
      <c r="FT176" s="82"/>
      <c r="FU176" s="82"/>
      <c r="FV176" s="82"/>
      <c r="FW176" s="82"/>
      <c r="FX176" s="82"/>
      <c r="FY176" s="82"/>
      <c r="FZ176" s="82"/>
      <c r="GA176" s="82"/>
      <c r="GB176" s="82"/>
      <c r="GC176" s="82"/>
      <c r="GD176" s="82"/>
      <c r="GE176" s="82"/>
      <c r="GF176" s="82"/>
      <c r="GG176" s="82"/>
      <c r="GH176" s="82"/>
      <c r="GI176" s="82"/>
      <c r="GJ176" s="82"/>
      <c r="GK176" s="82"/>
      <c r="GL176" s="82"/>
      <c r="GM176" s="82"/>
      <c r="GN176" s="82"/>
      <c r="GO176" s="82"/>
      <c r="GP176" s="82"/>
      <c r="GQ176" s="82"/>
      <c r="GR176" s="82"/>
      <c r="GS176" s="82"/>
      <c r="GT176" s="82"/>
      <c r="GU176" s="82"/>
      <c r="GV176" s="82"/>
      <c r="GW176" s="82"/>
      <c r="GX176" s="82"/>
      <c r="GY176" s="82"/>
      <c r="GZ176" s="82"/>
      <c r="HA176" s="82"/>
      <c r="HB176" s="82"/>
      <c r="HC176" s="82"/>
      <c r="HD176" s="82"/>
      <c r="HE176" s="82"/>
      <c r="HF176" s="82"/>
      <c r="HG176" s="82"/>
      <c r="HH176" s="82"/>
      <c r="HI176" s="82"/>
      <c r="HJ176" s="82"/>
      <c r="HK176" s="82"/>
      <c r="HL176" s="82"/>
      <c r="HM176" s="82"/>
      <c r="HN176" s="82"/>
      <c r="HO176" s="82"/>
      <c r="HP176" s="82"/>
      <c r="HQ176" s="82"/>
      <c r="HR176" s="82"/>
      <c r="HS176" s="82"/>
      <c r="HT176" s="82"/>
      <c r="HU176" s="82"/>
      <c r="HV176" s="82"/>
      <c r="HW176" s="82"/>
      <c r="HX176" s="82"/>
      <c r="HY176" s="82"/>
      <c r="HZ176" s="82"/>
      <c r="IA176" s="82"/>
      <c r="IB176" s="82"/>
      <c r="IC176" s="82"/>
      <c r="ID176" s="82"/>
      <c r="IE176" s="82"/>
      <c r="IF176" s="82"/>
      <c r="IG176" s="82"/>
      <c r="IH176" s="82"/>
      <c r="II176" s="82"/>
      <c r="IJ176" s="82"/>
      <c r="IK176" s="82"/>
      <c r="IL176" s="82"/>
      <c r="IM176" s="82"/>
      <c r="IN176" s="82"/>
      <c r="IO176" s="82"/>
      <c r="IP176" s="82"/>
      <c r="IQ176" s="82"/>
      <c r="IR176" s="82"/>
      <c r="IS176" s="82"/>
      <c r="IT176" s="82"/>
      <c r="IU176" s="82"/>
      <c r="IV176" s="82"/>
    </row>
    <row r="177" spans="1:256" s="43" customFormat="1" ht="12.75">
      <c r="A177" s="24" t="s">
        <v>148</v>
      </c>
      <c r="B177" s="81">
        <f>B153</f>
        <v>1.5804250216959197</v>
      </c>
      <c r="C177" s="81">
        <f aca="true" t="shared" si="126" ref="C177:Z177">C153</f>
        <v>1.3006893682995389</v>
      </c>
      <c r="D177" s="81">
        <f t="shared" si="126"/>
        <v>0.8155680878786837</v>
      </c>
      <c r="E177" s="81">
        <f t="shared" si="126"/>
        <v>0.3694587242919195</v>
      </c>
      <c r="F177" s="81">
        <f t="shared" si="126"/>
        <v>0.09664928302474173</v>
      </c>
      <c r="G177" s="81">
        <f t="shared" si="126"/>
        <v>0.0036222978916365923</v>
      </c>
      <c r="H177" s="81">
        <f t="shared" si="126"/>
        <v>0.015551448792364132</v>
      </c>
      <c r="I177" s="81">
        <f t="shared" si="126"/>
        <v>0.04710278268163695</v>
      </c>
      <c r="J177" s="81">
        <f t="shared" si="126"/>
        <v>0.053621534582538245</v>
      </c>
      <c r="K177" s="81">
        <f t="shared" si="126"/>
        <v>0.037550530620610756</v>
      </c>
      <c r="L177" s="81">
        <f t="shared" si="126"/>
        <v>0.020855888171333485</v>
      </c>
      <c r="M177" s="81">
        <f t="shared" si="126"/>
        <v>0.015765631623800763</v>
      </c>
      <c r="N177" s="81">
        <f t="shared" si="126"/>
        <v>0.016877817051951224</v>
      </c>
      <c r="O177" s="81">
        <f t="shared" si="126"/>
        <v>0.02078941236913445</v>
      </c>
      <c r="P177" s="81">
        <f t="shared" si="126"/>
        <v>0.07941801172716022</v>
      </c>
      <c r="Q177" s="81">
        <f t="shared" si="126"/>
        <v>0.38547996590295214</v>
      </c>
      <c r="R177" s="81">
        <f t="shared" si="126"/>
        <v>1.2668533088795315</v>
      </c>
      <c r="S177" s="81">
        <f t="shared" si="126"/>
        <v>2.7034501642879425</v>
      </c>
      <c r="T177" s="81">
        <f t="shared" si="126"/>
        <v>3.5000250913611133</v>
      </c>
      <c r="U177" s="81">
        <f t="shared" si="126"/>
        <v>2.3245413212925596</v>
      </c>
      <c r="V177" s="81">
        <f t="shared" si="126"/>
        <v>0.44048317836425677</v>
      </c>
      <c r="W177" s="81">
        <f t="shared" si="126"/>
        <v>0.22113225875190431</v>
      </c>
      <c r="X177" s="81">
        <f t="shared" si="126"/>
        <v>1.7087049058625572</v>
      </c>
      <c r="Y177" s="81">
        <f t="shared" si="126"/>
        <v>3.3296732996662444</v>
      </c>
      <c r="Z177" s="81">
        <f t="shared" si="126"/>
        <v>3.9454661735490046</v>
      </c>
      <c r="AA177" s="82"/>
      <c r="AB177" s="82"/>
      <c r="AC177" s="82"/>
      <c r="AD177" s="81"/>
      <c r="AE177" s="82"/>
      <c r="AF177" s="82"/>
      <c r="AG177" s="82"/>
      <c r="AH177" s="81"/>
      <c r="AI177" s="82"/>
      <c r="AJ177" s="82"/>
      <c r="AK177" s="82"/>
      <c r="AL177" s="81"/>
      <c r="AM177" s="82"/>
      <c r="AN177" s="82"/>
      <c r="AO177" s="82"/>
      <c r="AP177" s="81"/>
      <c r="AQ177" s="82"/>
      <c r="AR177" s="82"/>
      <c r="AS177" s="82"/>
      <c r="AT177" s="81"/>
      <c r="AU177" s="82"/>
      <c r="AV177" s="82"/>
      <c r="AW177" s="82"/>
      <c r="AX177" s="81"/>
      <c r="AY177" s="82"/>
      <c r="AZ177" s="82"/>
      <c r="BA177" s="82"/>
      <c r="BB177" s="81"/>
      <c r="BC177" s="82"/>
      <c r="BD177" s="82"/>
      <c r="BE177" s="82"/>
      <c r="BF177" s="81"/>
      <c r="BG177" s="82"/>
      <c r="BH177" s="82"/>
      <c r="BI177" s="82"/>
      <c r="BJ177" s="81"/>
      <c r="BK177" s="82"/>
      <c r="BL177" s="82"/>
      <c r="BM177" s="82"/>
      <c r="BN177" s="81"/>
      <c r="BO177" s="82"/>
      <c r="BP177" s="82"/>
      <c r="BQ177" s="82"/>
      <c r="BR177" s="81"/>
      <c r="BS177" s="82"/>
      <c r="BT177" s="82"/>
      <c r="BU177" s="82"/>
      <c r="BV177" s="81"/>
      <c r="BW177" s="82"/>
      <c r="BX177" s="82"/>
      <c r="BY177" s="82"/>
      <c r="BZ177" s="81"/>
      <c r="CA177" s="82"/>
      <c r="CB177" s="82"/>
      <c r="CC177" s="82"/>
      <c r="CD177" s="81"/>
      <c r="CE177" s="82"/>
      <c r="CF177" s="82"/>
      <c r="CG177" s="82"/>
      <c r="CH177" s="81"/>
      <c r="CI177" s="82"/>
      <c r="CJ177" s="82"/>
      <c r="CK177" s="82"/>
      <c r="CL177" s="81"/>
      <c r="CM177" s="82"/>
      <c r="CN177" s="82"/>
      <c r="CO177" s="82"/>
      <c r="CP177" s="81"/>
      <c r="CQ177" s="82"/>
      <c r="CR177" s="82"/>
      <c r="CS177" s="82"/>
      <c r="CT177" s="81"/>
      <c r="CU177" s="82"/>
      <c r="CV177" s="82"/>
      <c r="CW177" s="82"/>
      <c r="CX177" s="81"/>
      <c r="CY177" s="82"/>
      <c r="CZ177" s="82"/>
      <c r="DA177" s="82"/>
      <c r="DB177" s="81"/>
      <c r="DC177" s="82"/>
      <c r="DD177" s="82"/>
      <c r="DE177" s="82"/>
      <c r="DF177" s="81"/>
      <c r="DG177" s="82"/>
      <c r="DH177" s="82"/>
      <c r="DI177" s="82"/>
      <c r="DJ177" s="81"/>
      <c r="DK177" s="82"/>
      <c r="DL177" s="82"/>
      <c r="DM177" s="82"/>
      <c r="DN177" s="81"/>
      <c r="DO177" s="82"/>
      <c r="DP177" s="82"/>
      <c r="DQ177" s="82"/>
      <c r="DR177" s="81"/>
      <c r="DS177" s="82"/>
      <c r="DT177" s="82"/>
      <c r="DU177" s="82"/>
      <c r="DV177" s="81"/>
      <c r="DW177" s="82"/>
      <c r="DX177" s="82"/>
      <c r="DY177" s="82"/>
      <c r="DZ177" s="81"/>
      <c r="EA177" s="82"/>
      <c r="EB177" s="82"/>
      <c r="EC177" s="82"/>
      <c r="ED177" s="81"/>
      <c r="EE177" s="82"/>
      <c r="EF177" s="82"/>
      <c r="EG177" s="82"/>
      <c r="EH177" s="81"/>
      <c r="EI177" s="82"/>
      <c r="EJ177" s="82"/>
      <c r="EK177" s="82"/>
      <c r="EL177" s="81"/>
      <c r="EM177" s="82"/>
      <c r="EN177" s="82"/>
      <c r="EO177" s="82"/>
      <c r="EP177" s="81"/>
      <c r="EQ177" s="82"/>
      <c r="ER177" s="82"/>
      <c r="ES177" s="82"/>
      <c r="ET177" s="81"/>
      <c r="EU177" s="82"/>
      <c r="EV177" s="82"/>
      <c r="EW177" s="82"/>
      <c r="EX177" s="81"/>
      <c r="EY177" s="82"/>
      <c r="EZ177" s="82"/>
      <c r="FA177" s="82"/>
      <c r="FB177" s="81"/>
      <c r="FC177" s="82"/>
      <c r="FD177" s="82"/>
      <c r="FE177" s="82"/>
      <c r="FF177" s="81"/>
      <c r="FG177" s="82"/>
      <c r="FH177" s="82"/>
      <c r="FI177" s="82"/>
      <c r="FJ177" s="81"/>
      <c r="FK177" s="82"/>
      <c r="FL177" s="82"/>
      <c r="FM177" s="82"/>
      <c r="FN177" s="81"/>
      <c r="FO177" s="82"/>
      <c r="FP177" s="82"/>
      <c r="FQ177" s="82"/>
      <c r="FR177" s="81"/>
      <c r="FS177" s="82"/>
      <c r="FT177" s="82"/>
      <c r="FU177" s="82"/>
      <c r="FV177" s="81"/>
      <c r="FW177" s="82"/>
      <c r="FX177" s="82"/>
      <c r="FY177" s="82"/>
      <c r="FZ177" s="81"/>
      <c r="GA177" s="82"/>
      <c r="GB177" s="82"/>
      <c r="GC177" s="82"/>
      <c r="GD177" s="82"/>
      <c r="GE177" s="82"/>
      <c r="GF177" s="82"/>
      <c r="GG177" s="82"/>
      <c r="GH177" s="82"/>
      <c r="GI177" s="82"/>
      <c r="GJ177" s="82"/>
      <c r="GK177" s="82"/>
      <c r="GL177" s="82"/>
      <c r="GM177" s="82"/>
      <c r="GN177" s="82"/>
      <c r="GO177" s="82"/>
      <c r="GP177" s="82"/>
      <c r="GQ177" s="82"/>
      <c r="GR177" s="82"/>
      <c r="GS177" s="82"/>
      <c r="GT177" s="82"/>
      <c r="GU177" s="82"/>
      <c r="GV177" s="82"/>
      <c r="GW177" s="82"/>
      <c r="GX177" s="82"/>
      <c r="GY177" s="82"/>
      <c r="GZ177" s="82"/>
      <c r="HA177" s="82"/>
      <c r="HB177" s="82"/>
      <c r="HC177" s="82"/>
      <c r="HD177" s="82"/>
      <c r="HE177" s="82"/>
      <c r="HF177" s="82"/>
      <c r="HG177" s="82"/>
      <c r="HH177" s="82"/>
      <c r="HI177" s="82"/>
      <c r="HJ177" s="82"/>
      <c r="HK177" s="82"/>
      <c r="HL177" s="82"/>
      <c r="HM177" s="82"/>
      <c r="HN177" s="82"/>
      <c r="HO177" s="82"/>
      <c r="HP177" s="82"/>
      <c r="HQ177" s="82"/>
      <c r="HR177" s="82"/>
      <c r="HS177" s="82"/>
      <c r="HT177" s="82"/>
      <c r="HU177" s="82"/>
      <c r="HV177" s="82"/>
      <c r="HW177" s="82"/>
      <c r="HX177" s="82"/>
      <c r="HY177" s="82"/>
      <c r="HZ177" s="82"/>
      <c r="IA177" s="82"/>
      <c r="IB177" s="82"/>
      <c r="IC177" s="82"/>
      <c r="ID177" s="82"/>
      <c r="IE177" s="82"/>
      <c r="IF177" s="82"/>
      <c r="IG177" s="82"/>
      <c r="IH177" s="82"/>
      <c r="II177" s="82"/>
      <c r="IJ177" s="82"/>
      <c r="IK177" s="82"/>
      <c r="IL177" s="82"/>
      <c r="IM177" s="82"/>
      <c r="IN177" s="82"/>
      <c r="IO177" s="82"/>
      <c r="IP177" s="82"/>
      <c r="IQ177" s="82"/>
      <c r="IR177" s="82"/>
      <c r="IS177" s="82"/>
      <c r="IT177" s="82"/>
      <c r="IU177" s="82"/>
      <c r="IV177" s="82"/>
    </row>
    <row r="178" spans="1:182" s="43" customFormat="1" ht="12.75">
      <c r="A178" s="24" t="s">
        <v>203</v>
      </c>
      <c r="B178" s="76">
        <f aca="true" t="shared" si="127" ref="B178:Z178">B164</f>
        <v>78.52425728051566</v>
      </c>
      <c r="C178" s="76">
        <f t="shared" si="127"/>
        <v>64.76296731832261</v>
      </c>
      <c r="D178" s="76">
        <f t="shared" si="127"/>
        <v>40.65628625524027</v>
      </c>
      <c r="E178" s="76">
        <f t="shared" si="127"/>
        <v>18.436597426858693</v>
      </c>
      <c r="F178" s="76">
        <f t="shared" si="127"/>
        <v>4.830851192074767</v>
      </c>
      <c r="G178" s="76">
        <f t="shared" si="127"/>
        <v>0.16970602441630556</v>
      </c>
      <c r="H178" s="76">
        <f t="shared" si="127"/>
        <v>0.713382584980133</v>
      </c>
      <c r="I178" s="76">
        <f t="shared" si="127"/>
        <v>2.195537597469532</v>
      </c>
      <c r="J178" s="76">
        <f t="shared" si="127"/>
        <v>2.3875410621424837</v>
      </c>
      <c r="K178" s="76">
        <f t="shared" si="127"/>
        <v>1.423654724914053</v>
      </c>
      <c r="L178" s="76">
        <f t="shared" si="127"/>
        <v>0.42380109534992194</v>
      </c>
      <c r="M178" s="76">
        <f t="shared" si="127"/>
        <v>0.028484411404173692</v>
      </c>
      <c r="N178" s="76">
        <f t="shared" si="127"/>
        <v>4.068816056803784E-05</v>
      </c>
      <c r="O178" s="76">
        <f t="shared" si="127"/>
        <v>0.1992366838959878</v>
      </c>
      <c r="P178" s="76">
        <f t="shared" si="127"/>
        <v>3.244625809283232</v>
      </c>
      <c r="Q178" s="76">
        <f t="shared" si="127"/>
        <v>18.772677410526263</v>
      </c>
      <c r="R178" s="76">
        <f t="shared" si="127"/>
        <v>63.12741050172657</v>
      </c>
      <c r="S178" s="76">
        <f t="shared" si="127"/>
        <v>135.1616774748722</v>
      </c>
      <c r="T178" s="76">
        <f t="shared" si="127"/>
        <v>174.86898085921075</v>
      </c>
      <c r="U178" s="76">
        <f t="shared" si="127"/>
        <v>115.45798527260551</v>
      </c>
      <c r="V178" s="76">
        <f t="shared" si="127"/>
        <v>20.307080412976802</v>
      </c>
      <c r="W178" s="76">
        <f t="shared" si="127"/>
        <v>8.686718395919137</v>
      </c>
      <c r="X178" s="76">
        <f t="shared" si="127"/>
        <v>83.08046410613395</v>
      </c>
      <c r="Y178" s="76">
        <f t="shared" si="127"/>
        <v>164.62534440933626</v>
      </c>
      <c r="Z178" s="76">
        <f t="shared" si="127"/>
        <v>164.62534440933626</v>
      </c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</row>
    <row r="179" spans="1:182" s="64" customFormat="1" ht="13.5" thickBot="1">
      <c r="A179" s="25" t="s">
        <v>160</v>
      </c>
      <c r="B179" s="77">
        <f aca="true" t="shared" si="128" ref="B179:Z179">SUM(B174:B178)</f>
        <v>159.186544296261</v>
      </c>
      <c r="C179" s="77">
        <f t="shared" si="128"/>
        <v>139.3573187147581</v>
      </c>
      <c r="D179" s="77">
        <f t="shared" si="128"/>
        <v>129.50021440298602</v>
      </c>
      <c r="E179" s="77">
        <f t="shared" si="128"/>
        <v>129.7287865942693</v>
      </c>
      <c r="F179" s="77">
        <f t="shared" si="128"/>
        <v>138.9601849142564</v>
      </c>
      <c r="G179" s="77">
        <f t="shared" si="128"/>
        <v>153.22264460626323</v>
      </c>
      <c r="H179" s="77">
        <f t="shared" si="128"/>
        <v>166.81014009064089</v>
      </c>
      <c r="I179" s="77">
        <f t="shared" si="128"/>
        <v>175.01872995807156</v>
      </c>
      <c r="J179" s="77">
        <f t="shared" si="128"/>
        <v>176.13188347080307</v>
      </c>
      <c r="K179" s="77">
        <f t="shared" si="128"/>
        <v>171.21293446466225</v>
      </c>
      <c r="L179" s="77">
        <f t="shared" si="128"/>
        <v>162.2924335398875</v>
      </c>
      <c r="M179" s="77">
        <f t="shared" si="128"/>
        <v>150.76388566369468</v>
      </c>
      <c r="N179" s="77">
        <f t="shared" si="128"/>
        <v>137.27178480779853</v>
      </c>
      <c r="O179" s="77">
        <f t="shared" si="128"/>
        <v>123.43218075514277</v>
      </c>
      <c r="P179" s="77">
        <f t="shared" si="128"/>
        <v>115.78731152662748</v>
      </c>
      <c r="Q179" s="77">
        <f t="shared" si="128"/>
        <v>132.07792347314543</v>
      </c>
      <c r="R179" s="77">
        <f t="shared" si="128"/>
        <v>203.20839598630465</v>
      </c>
      <c r="S179" s="77">
        <f t="shared" si="128"/>
        <v>348.2952648154418</v>
      </c>
      <c r="T179" s="77">
        <f t="shared" si="128"/>
        <v>520.4908801788754</v>
      </c>
      <c r="U179" s="77">
        <f t="shared" si="128"/>
        <v>626.3217842263856</v>
      </c>
      <c r="V179" s="77">
        <f t="shared" si="128"/>
        <v>639.9301182341583</v>
      </c>
      <c r="W179" s="77">
        <f t="shared" si="128"/>
        <v>594.748783035108</v>
      </c>
      <c r="X179" s="77">
        <f t="shared" si="128"/>
        <v>520.9519339650805</v>
      </c>
      <c r="Y179" s="77">
        <f t="shared" si="128"/>
        <v>449.3679713249163</v>
      </c>
      <c r="Z179" s="77">
        <f t="shared" si="128"/>
        <v>365.99543190656965</v>
      </c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</row>
    <row r="180" spans="27:182" ht="12.75">
      <c r="AA180" s="41"/>
      <c r="FZ180" s="41"/>
    </row>
    <row r="181" spans="1:182" ht="13.5" thickBot="1">
      <c r="A181" s="32" t="s">
        <v>162</v>
      </c>
      <c r="AA181" s="41"/>
      <c r="FZ181" s="41"/>
    </row>
    <row r="182" spans="1:26" s="39" customFormat="1" ht="12.75">
      <c r="A182" s="13" t="s">
        <v>163</v>
      </c>
      <c r="B182" s="75">
        <f aca="true" t="shared" si="129" ref="B182:Y182">B134</f>
        <v>0</v>
      </c>
      <c r="C182" s="39">
        <f t="shared" si="129"/>
        <v>0.5197959999999997</v>
      </c>
      <c r="D182" s="39">
        <f t="shared" si="129"/>
        <v>1.0423136454916064</v>
      </c>
      <c r="E182" s="39">
        <f t="shared" si="129"/>
        <v>1.5716354047122463</v>
      </c>
      <c r="F182" s="39">
        <f t="shared" si="129"/>
        <v>2.1118011060228317</v>
      </c>
      <c r="G182" s="39">
        <f t="shared" si="129"/>
        <v>2.6667557456724627</v>
      </c>
      <c r="H182" s="39">
        <f t="shared" si="129"/>
        <v>3.2403010334288607</v>
      </c>
      <c r="I182" s="39">
        <f t="shared" si="129"/>
        <v>3.836053174786776</v>
      </c>
      <c r="J182" s="39">
        <f t="shared" si="129"/>
        <v>4.457408793933613</v>
      </c>
      <c r="K182" s="39">
        <f t="shared" si="129"/>
        <v>5.107520130155924</v>
      </c>
      <c r="L182" s="39">
        <f t="shared" si="129"/>
        <v>5.789279815938456</v>
      </c>
      <c r="M182" s="39">
        <f t="shared" si="129"/>
        <v>6.505314788779149</v>
      </c>
      <c r="N182" s="39">
        <f t="shared" si="129"/>
        <v>7.257988293178016</v>
      </c>
      <c r="O182" s="39">
        <f t="shared" si="129"/>
        <v>8.049408543595833</v>
      </c>
      <c r="P182" s="39">
        <f t="shared" si="129"/>
        <v>8.881442448339591</v>
      </c>
      <c r="Q182" s="39">
        <f t="shared" si="129"/>
        <v>9.755732808548482</v>
      </c>
      <c r="R182" s="39">
        <f t="shared" si="129"/>
        <v>10.67371755617444</v>
      </c>
      <c r="S182" s="39">
        <f t="shared" si="129"/>
        <v>11.636649825473189</v>
      </c>
      <c r="T182" s="39">
        <f t="shared" si="129"/>
        <v>12.64561791534607</v>
      </c>
      <c r="U182" s="39">
        <f t="shared" si="129"/>
        <v>13.7015644580271</v>
      </c>
      <c r="V182" s="39">
        <f t="shared" si="129"/>
        <v>14.805304339522424</v>
      </c>
      <c r="W182" s="39">
        <f t="shared" si="129"/>
        <v>15.957541107099004</v>
      </c>
      <c r="X182" s="39">
        <f t="shared" si="129"/>
        <v>17.158881746076982</v>
      </c>
      <c r="Y182" s="39">
        <f t="shared" si="129"/>
        <v>18.409849815006986</v>
      </c>
      <c r="Z182" s="39">
        <f>Z134</f>
        <v>19.710897000846238</v>
      </c>
    </row>
    <row r="183" spans="1:26" s="43" customFormat="1" ht="12.75">
      <c r="A183" s="14" t="s">
        <v>164</v>
      </c>
      <c r="B183" s="76">
        <f aca="true" t="shared" si="130" ref="B183:Y183">B142</f>
        <v>-107.34983891995267</v>
      </c>
      <c r="C183" s="43">
        <f t="shared" si="130"/>
        <v>-39.721567680424336</v>
      </c>
      <c r="D183" s="43">
        <f t="shared" si="130"/>
        <v>9.86366476820272</v>
      </c>
      <c r="E183" s="43">
        <f t="shared" si="130"/>
        <v>40.90713457381926</v>
      </c>
      <c r="F183" s="43">
        <f t="shared" si="130"/>
        <v>57.658888916220654</v>
      </c>
      <c r="G183" s="43">
        <f t="shared" si="130"/>
        <v>63.92045377130232</v>
      </c>
      <c r="H183" s="43">
        <f t="shared" si="130"/>
        <v>62.051832264160744</v>
      </c>
      <c r="I183" s="43">
        <f t="shared" si="130"/>
        <v>53.34746316237793</v>
      </c>
      <c r="J183" s="43">
        <f t="shared" si="130"/>
        <v>38.661145037623356</v>
      </c>
      <c r="K183" s="43">
        <f t="shared" si="130"/>
        <v>18.90782105444131</v>
      </c>
      <c r="L183" s="43">
        <f t="shared" si="130"/>
        <v>-4.650670706935783</v>
      </c>
      <c r="M183" s="43">
        <f t="shared" si="130"/>
        <v>-30.221689341706874</v>
      </c>
      <c r="N183" s="43">
        <f t="shared" si="130"/>
        <v>-55.05638672473905</v>
      </c>
      <c r="O183" s="43">
        <f t="shared" si="130"/>
        <v>-74.26791833289704</v>
      </c>
      <c r="P183" s="43">
        <f t="shared" si="130"/>
        <v>-78.34996095413878</v>
      </c>
      <c r="Q183" s="43">
        <f t="shared" si="130"/>
        <v>-49.33367300120496</v>
      </c>
      <c r="R183" s="43">
        <f t="shared" si="130"/>
        <v>41.58147952128774</v>
      </c>
      <c r="S183" s="43">
        <f t="shared" si="130"/>
        <v>221.924368864833</v>
      </c>
      <c r="T183" s="43">
        <f t="shared" si="130"/>
        <v>462.70537380073165</v>
      </c>
      <c r="U183" s="43">
        <f t="shared" si="130"/>
        <v>590.6451127808882</v>
      </c>
      <c r="V183" s="43">
        <f t="shared" si="130"/>
        <v>368.2784341776471</v>
      </c>
      <c r="W183" s="43">
        <f t="shared" si="130"/>
        <v>-133.8974302528528</v>
      </c>
      <c r="X183" s="43">
        <f t="shared" si="130"/>
        <v>-514.8990019401863</v>
      </c>
      <c r="Y183" s="43">
        <f t="shared" si="130"/>
        <v>-562.6562398535215</v>
      </c>
      <c r="Z183" s="43">
        <f>Z142</f>
        <v>-384.3294347969795</v>
      </c>
    </row>
    <row r="184" spans="1:26" s="43" customFormat="1" ht="12.75">
      <c r="A184" s="14" t="s">
        <v>165</v>
      </c>
      <c r="B184" s="76">
        <f aca="true" t="shared" si="131" ref="B184:Y184">B150</f>
        <v>28.0523434007201</v>
      </c>
      <c r="C184" s="43">
        <f t="shared" si="131"/>
        <v>66.18579675316377</v>
      </c>
      <c r="D184" s="43">
        <f t="shared" si="131"/>
        <v>68.49568140475459</v>
      </c>
      <c r="E184" s="43">
        <f t="shared" si="131"/>
        <v>50.89447344619712</v>
      </c>
      <c r="F184" s="43">
        <f t="shared" si="131"/>
        <v>25.032446316210585</v>
      </c>
      <c r="G184" s="43">
        <f t="shared" si="131"/>
        <v>-1.8481476684634444</v>
      </c>
      <c r="H184" s="43">
        <f t="shared" si="131"/>
        <v>-25.014552776808397</v>
      </c>
      <c r="I184" s="43">
        <f t="shared" si="131"/>
        <v>-41.249139173684206</v>
      </c>
      <c r="J184" s="43">
        <f t="shared" si="131"/>
        <v>-48.94977279828874</v>
      </c>
      <c r="K184" s="43">
        <f t="shared" si="131"/>
        <v>-48.43614449665047</v>
      </c>
      <c r="L184" s="43">
        <f t="shared" si="131"/>
        <v>-41.50251446621119</v>
      </c>
      <c r="M184" s="43">
        <f t="shared" si="131"/>
        <v>-30.112967673385096</v>
      </c>
      <c r="N184" s="43">
        <f t="shared" si="131"/>
        <v>-14.930897490199312</v>
      </c>
      <c r="O184" s="43">
        <f t="shared" si="131"/>
        <v>5.81076993876361</v>
      </c>
      <c r="P184" s="43">
        <f t="shared" si="131"/>
        <v>37.206354183415094</v>
      </c>
      <c r="Q184" s="43">
        <f t="shared" si="131"/>
        <v>88.18640160386914</v>
      </c>
      <c r="R184" s="43">
        <f t="shared" si="131"/>
        <v>168.81034205182902</v>
      </c>
      <c r="S184" s="43">
        <f t="shared" si="131"/>
        <v>274.4412517663577</v>
      </c>
      <c r="T184" s="43">
        <f t="shared" si="131"/>
        <v>343.42865074514856</v>
      </c>
      <c r="U184" s="43">
        <f t="shared" si="131"/>
        <v>230.19325075897822</v>
      </c>
      <c r="V184" s="43">
        <f t="shared" si="131"/>
        <v>-134.83327237360598</v>
      </c>
      <c r="W184" s="43">
        <f t="shared" si="131"/>
        <v>-484.0689098183605</v>
      </c>
      <c r="X184" s="43">
        <f t="shared" si="131"/>
        <v>-483.70034031392464</v>
      </c>
      <c r="Y184" s="43">
        <f t="shared" si="131"/>
        <v>-196.23493321056304</v>
      </c>
      <c r="Z184" s="43">
        <f>Z150</f>
        <v>111.80978993273014</v>
      </c>
    </row>
    <row r="185" spans="1:26" s="43" customFormat="1" ht="12.75">
      <c r="A185" s="14" t="s">
        <v>166</v>
      </c>
      <c r="B185" s="76">
        <f>B158</f>
        <v>-1.1018847185118081</v>
      </c>
      <c r="C185" s="76">
        <f aca="true" t="shared" si="132" ref="C185:Z185">C158</f>
        <v>-2.055006953256859</v>
      </c>
      <c r="D185" s="76">
        <f t="shared" si="132"/>
        <v>-2.0340596765285595</v>
      </c>
      <c r="E185" s="76">
        <f t="shared" si="132"/>
        <v>-1.385775611426318</v>
      </c>
      <c r="F185" s="76">
        <f t="shared" si="132"/>
        <v>-0.6091670847279369</v>
      </c>
      <c r="G185" s="76">
        <f t="shared" si="132"/>
        <v>-0.08115368809384506</v>
      </c>
      <c r="H185" s="76">
        <f t="shared" si="132"/>
        <v>0.08542235380669684</v>
      </c>
      <c r="I185" s="76">
        <f t="shared" si="132"/>
        <v>0.015140011447834759</v>
      </c>
      <c r="J185" s="76">
        <f t="shared" si="132"/>
        <v>-0.08907693379651947</v>
      </c>
      <c r="K185" s="76">
        <f t="shared" si="132"/>
        <v>-0.10791052261650047</v>
      </c>
      <c r="L185" s="76">
        <f t="shared" si="132"/>
        <v>-0.053421412857423</v>
      </c>
      <c r="M185" s="76">
        <f t="shared" si="132"/>
        <v>-0.004764409447308062</v>
      </c>
      <c r="N185" s="76">
        <f t="shared" si="132"/>
        <v>0.0004989546144652389</v>
      </c>
      <c r="O185" s="76">
        <f t="shared" si="132"/>
        <v>0.11007254228933143</v>
      </c>
      <c r="P185" s="76">
        <f t="shared" si="132"/>
        <v>0.8502905100664344</v>
      </c>
      <c r="Q185" s="76">
        <f t="shared" si="132"/>
        <v>2.9922769329557073</v>
      </c>
      <c r="R185" s="76">
        <f t="shared" si="132"/>
        <v>5.734363784224035</v>
      </c>
      <c r="S185" s="76">
        <f t="shared" si="132"/>
        <v>3.7377766680600417</v>
      </c>
      <c r="T185" s="76">
        <f t="shared" si="132"/>
        <v>-6.76862337585708</v>
      </c>
      <c r="U185" s="76">
        <f t="shared" si="132"/>
        <v>-14.209802305810861</v>
      </c>
      <c r="V185" s="76">
        <f t="shared" si="132"/>
        <v>-7.308684241757032</v>
      </c>
      <c r="W185" s="76">
        <f t="shared" si="132"/>
        <v>4.060166760400749</v>
      </c>
      <c r="X185" s="76">
        <f t="shared" si="132"/>
        <v>7.764716760587697</v>
      </c>
      <c r="Y185" s="76">
        <f t="shared" si="132"/>
        <v>3.533532389715481</v>
      </c>
      <c r="Z185" s="76">
        <f t="shared" si="132"/>
        <v>3.855891995114868</v>
      </c>
    </row>
    <row r="186" spans="1:182" s="43" customFormat="1" ht="12.75">
      <c r="A186" s="14" t="s">
        <v>213</v>
      </c>
      <c r="B186" s="76">
        <f aca="true" t="shared" si="133" ref="B186:Z186">B171</f>
        <v>210.43644192732495</v>
      </c>
      <c r="C186" s="76">
        <f t="shared" si="133"/>
        <v>138.39348270387308</v>
      </c>
      <c r="D186" s="76">
        <f t="shared" si="133"/>
        <v>89.36003625734426</v>
      </c>
      <c r="E186" s="76">
        <f t="shared" si="133"/>
        <v>59.37407080840882</v>
      </c>
      <c r="F186" s="76">
        <f t="shared" si="133"/>
        <v>35.40208388020562</v>
      </c>
      <c r="G186" s="76">
        <f t="shared" si="133"/>
        <v>8.286471987683347</v>
      </c>
      <c r="H186" s="76">
        <f t="shared" si="133"/>
        <v>-21.03782702091854</v>
      </c>
      <c r="I186" s="76">
        <f t="shared" si="133"/>
        <v>-43.64302546237765</v>
      </c>
      <c r="J186" s="76">
        <f t="shared" si="133"/>
        <v>-50.754616336426245</v>
      </c>
      <c r="K186" s="76">
        <f t="shared" si="133"/>
        <v>-41.14874293190895</v>
      </c>
      <c r="L186" s="76">
        <f t="shared" si="133"/>
        <v>-22.17822061685539</v>
      </c>
      <c r="M186" s="76">
        <f t="shared" si="133"/>
        <v>-5.295493613707404</v>
      </c>
      <c r="N186" s="76">
        <f t="shared" si="133"/>
        <v>-0.16619017088391402</v>
      </c>
      <c r="O186" s="76">
        <f t="shared" si="133"/>
        <v>-7.8714852072985515</v>
      </c>
      <c r="P186" s="76">
        <f t="shared" si="133"/>
        <v>-11.4607782053846</v>
      </c>
      <c r="Q186" s="76">
        <f t="shared" si="133"/>
        <v>19.78359641901173</v>
      </c>
      <c r="R186" s="76">
        <f t="shared" si="133"/>
        <v>48.63881468267138</v>
      </c>
      <c r="S186" s="76">
        <f t="shared" si="133"/>
        <v>-161.48022287355684</v>
      </c>
      <c r="T186" s="76">
        <f t="shared" si="133"/>
        <v>-734.6810773161949</v>
      </c>
      <c r="U186" s="76">
        <f t="shared" si="133"/>
        <v>-1032.4670584648297</v>
      </c>
      <c r="V186" s="76">
        <f t="shared" si="133"/>
        <v>-500.46615910346</v>
      </c>
      <c r="W186" s="76">
        <f t="shared" si="133"/>
        <v>291.3245954918334</v>
      </c>
      <c r="X186" s="76">
        <f t="shared" si="133"/>
        <v>661.3613336836931</v>
      </c>
      <c r="Y186" s="76">
        <f t="shared" si="133"/>
        <v>561.1454474518027</v>
      </c>
      <c r="Z186" s="76">
        <f t="shared" si="133"/>
        <v>561.1454474518027</v>
      </c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</row>
    <row r="187" spans="1:182" s="64" customFormat="1" ht="13.5" thickBot="1">
      <c r="A187" s="33" t="s">
        <v>167</v>
      </c>
      <c r="B187" s="77">
        <f aca="true" t="shared" si="134" ref="B187:Z187">SUM(B182:B186)</f>
        <v>130.03706168958058</v>
      </c>
      <c r="C187" s="77">
        <f t="shared" si="134"/>
        <v>163.32250082335565</v>
      </c>
      <c r="D187" s="77">
        <f t="shared" si="134"/>
        <v>166.7276363992646</v>
      </c>
      <c r="E187" s="77">
        <f t="shared" si="134"/>
        <v>151.36153862171113</v>
      </c>
      <c r="F187" s="77">
        <f t="shared" si="134"/>
        <v>119.59605313393175</v>
      </c>
      <c r="G187" s="77">
        <f t="shared" si="134"/>
        <v>72.94438014810083</v>
      </c>
      <c r="H187" s="77">
        <f t="shared" si="134"/>
        <v>19.325175853669357</v>
      </c>
      <c r="I187" s="77">
        <f t="shared" si="134"/>
        <v>-27.69350828744932</v>
      </c>
      <c r="J187" s="77">
        <f t="shared" si="134"/>
        <v>-56.67491223695454</v>
      </c>
      <c r="K187" s="77">
        <f t="shared" si="134"/>
        <v>-65.67745676657869</v>
      </c>
      <c r="L187" s="77">
        <f t="shared" si="134"/>
        <v>-62.59554738692133</v>
      </c>
      <c r="M187" s="77">
        <f t="shared" si="134"/>
        <v>-59.12960024946753</v>
      </c>
      <c r="N187" s="77">
        <f t="shared" si="134"/>
        <v>-62.8949871380298</v>
      </c>
      <c r="O187" s="77">
        <f t="shared" si="134"/>
        <v>-68.16915251554681</v>
      </c>
      <c r="P187" s="77">
        <f t="shared" si="134"/>
        <v>-42.87265201770225</v>
      </c>
      <c r="Q187" s="77">
        <f t="shared" si="134"/>
        <v>71.3843347631801</v>
      </c>
      <c r="R187" s="77">
        <f t="shared" si="134"/>
        <v>275.4387175961866</v>
      </c>
      <c r="S187" s="77">
        <f t="shared" si="134"/>
        <v>350.2598242511672</v>
      </c>
      <c r="T187" s="77">
        <f t="shared" si="134"/>
        <v>77.32994176917441</v>
      </c>
      <c r="U187" s="77">
        <f t="shared" si="134"/>
        <v>-212.13693277274706</v>
      </c>
      <c r="V187" s="77">
        <f t="shared" si="134"/>
        <v>-259.52437720165346</v>
      </c>
      <c r="W187" s="77">
        <f t="shared" si="134"/>
        <v>-306.6240367118802</v>
      </c>
      <c r="X187" s="77">
        <f t="shared" si="134"/>
        <v>-312.31441006375314</v>
      </c>
      <c r="Y187" s="77">
        <f t="shared" si="134"/>
        <v>-175.80234340755942</v>
      </c>
      <c r="Z187" s="77">
        <f t="shared" si="134"/>
        <v>312.19259158351446</v>
      </c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</row>
    <row r="188" spans="9:182" ht="13.5" customHeight="1"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</row>
    <row r="189" s="43" customFormat="1" ht="13.5" thickBot="1">
      <c r="A189" s="30" t="s">
        <v>140</v>
      </c>
    </row>
    <row r="190" spans="1:256" s="91" customFormat="1" ht="12.75">
      <c r="A190" s="28" t="s">
        <v>141</v>
      </c>
      <c r="B190" s="89">
        <f aca="true" t="shared" si="135" ref="B190:Y190">$D$6*$F$13*(B43-$B$43)</f>
        <v>0</v>
      </c>
      <c r="C190" s="90">
        <f t="shared" si="135"/>
        <v>18.128565903733904</v>
      </c>
      <c r="D190" s="90">
        <f t="shared" si="135"/>
        <v>35.021699999999996</v>
      </c>
      <c r="E190" s="90">
        <f t="shared" si="135"/>
        <v>49.528163117361814</v>
      </c>
      <c r="F190" s="90">
        <f t="shared" si="135"/>
        <v>60.65936376743495</v>
      </c>
      <c r="G190" s="90">
        <f t="shared" si="135"/>
        <v>67.65672902109573</v>
      </c>
      <c r="H190" s="90">
        <f t="shared" si="135"/>
        <v>70.0434</v>
      </c>
      <c r="I190" s="90">
        <f t="shared" si="135"/>
        <v>67.65672902109573</v>
      </c>
      <c r="J190" s="90">
        <f t="shared" si="135"/>
        <v>60.65936376743496</v>
      </c>
      <c r="K190" s="90">
        <f t="shared" si="135"/>
        <v>49.52816311736183</v>
      </c>
      <c r="L190" s="90">
        <f t="shared" si="135"/>
        <v>35.021699999999996</v>
      </c>
      <c r="M190" s="90">
        <f t="shared" si="135"/>
        <v>18.12856590373392</v>
      </c>
      <c r="N190" s="90">
        <f t="shared" si="135"/>
        <v>8.581356328654644E-15</v>
      </c>
      <c r="O190" s="90">
        <f t="shared" si="135"/>
        <v>-18.128565903733904</v>
      </c>
      <c r="P190" s="90">
        <f t="shared" si="135"/>
        <v>-35.02170000000001</v>
      </c>
      <c r="Q190" s="90">
        <f t="shared" si="135"/>
        <v>-49.528163117361814</v>
      </c>
      <c r="R190" s="90">
        <f t="shared" si="135"/>
        <v>-60.65936376743493</v>
      </c>
      <c r="S190" s="90">
        <f t="shared" si="135"/>
        <v>-67.65672902109573</v>
      </c>
      <c r="T190" s="90">
        <f t="shared" si="135"/>
        <v>-70.0434</v>
      </c>
      <c r="U190" s="90">
        <f t="shared" si="135"/>
        <v>-67.65672902109573</v>
      </c>
      <c r="V190" s="90">
        <f t="shared" si="135"/>
        <v>-60.65936376743495</v>
      </c>
      <c r="W190" s="90">
        <f t="shared" si="135"/>
        <v>-49.528163117361835</v>
      </c>
      <c r="X190" s="90">
        <f t="shared" si="135"/>
        <v>-35.02170000000003</v>
      </c>
      <c r="Y190" s="90">
        <f t="shared" si="135"/>
        <v>-18.128565903733897</v>
      </c>
      <c r="Z190" s="90">
        <f>$D$6*$F$13*(Z43-$B$43)</f>
        <v>-1.7162712657309287E-14</v>
      </c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90"/>
      <c r="EM190" s="90"/>
      <c r="EN190" s="90"/>
      <c r="EO190" s="90"/>
      <c r="EP190" s="90"/>
      <c r="EQ190" s="90"/>
      <c r="ER190" s="90"/>
      <c r="ES190" s="90"/>
      <c r="ET190" s="90"/>
      <c r="EU190" s="90"/>
      <c r="EV190" s="90"/>
      <c r="EW190" s="90"/>
      <c r="EX190" s="90"/>
      <c r="EY190" s="90"/>
      <c r="EZ190" s="90"/>
      <c r="FA190" s="90"/>
      <c r="FB190" s="90"/>
      <c r="FC190" s="90"/>
      <c r="FD190" s="90"/>
      <c r="FE190" s="90"/>
      <c r="FF190" s="90"/>
      <c r="FG190" s="90"/>
      <c r="FH190" s="90"/>
      <c r="FI190" s="90"/>
      <c r="FJ190" s="90"/>
      <c r="FK190" s="90"/>
      <c r="FL190" s="90"/>
      <c r="FM190" s="90"/>
      <c r="FN190" s="90"/>
      <c r="FO190" s="90"/>
      <c r="FP190" s="90"/>
      <c r="FQ190" s="90"/>
      <c r="FR190" s="90"/>
      <c r="FS190" s="90"/>
      <c r="FT190" s="90"/>
      <c r="FU190" s="90"/>
      <c r="FV190" s="90"/>
      <c r="FW190" s="90"/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  <c r="HF190" s="90"/>
      <c r="HG190" s="90"/>
      <c r="HH190" s="90"/>
      <c r="HI190" s="90"/>
      <c r="HJ190" s="90"/>
      <c r="HK190" s="90"/>
      <c r="HL190" s="90"/>
      <c r="HM190" s="90"/>
      <c r="HN190" s="90"/>
      <c r="HO190" s="90"/>
      <c r="HP190" s="90"/>
      <c r="HQ190" s="90"/>
      <c r="HR190" s="90"/>
      <c r="HS190" s="90"/>
      <c r="HT190" s="90"/>
      <c r="HU190" s="90"/>
      <c r="HV190" s="90"/>
      <c r="HW190" s="90"/>
      <c r="HX190" s="90"/>
      <c r="HY190" s="90"/>
      <c r="HZ190" s="90"/>
      <c r="IA190" s="90"/>
      <c r="IB190" s="90"/>
      <c r="IC190" s="90"/>
      <c r="ID190" s="90"/>
      <c r="IE190" s="90"/>
      <c r="IF190" s="90"/>
      <c r="IG190" s="90"/>
      <c r="IH190" s="90"/>
      <c r="II190" s="90"/>
      <c r="IJ190" s="90"/>
      <c r="IK190" s="90"/>
      <c r="IL190" s="90"/>
      <c r="IM190" s="90"/>
      <c r="IN190" s="90"/>
      <c r="IO190" s="90"/>
      <c r="IP190" s="90"/>
      <c r="IQ190" s="90"/>
      <c r="IR190" s="90"/>
      <c r="IS190" s="90"/>
      <c r="IT190" s="90"/>
      <c r="IU190" s="90"/>
      <c r="IV190" s="90"/>
    </row>
    <row r="191" spans="1:256" s="94" customFormat="1" ht="12.75">
      <c r="A191" s="27" t="s">
        <v>142</v>
      </c>
      <c r="B191" s="92">
        <f aca="true" t="shared" si="136" ref="B191:Y191">$D$7*$F$13*(B77-$B$77)</f>
        <v>0</v>
      </c>
      <c r="C191" s="93">
        <f t="shared" si="136"/>
        <v>28.710240648201438</v>
      </c>
      <c r="D191" s="93">
        <f t="shared" si="136"/>
        <v>56.3075287834302</v>
      </c>
      <c r="E191" s="93">
        <f t="shared" si="136"/>
        <v>81.15557437051582</v>
      </c>
      <c r="F191" s="93">
        <f t="shared" si="136"/>
        <v>101.57230485372303</v>
      </c>
      <c r="G191" s="93">
        <f t="shared" si="136"/>
        <v>116.10175153544769</v>
      </c>
      <c r="H191" s="93">
        <f t="shared" si="136"/>
        <v>123.6650762994843</v>
      </c>
      <c r="I191" s="93">
        <f t="shared" si="136"/>
        <v>123.61150979836893</v>
      </c>
      <c r="J191" s="93">
        <f t="shared" si="136"/>
        <v>115.70901887923965</v>
      </c>
      <c r="K191" s="93">
        <f t="shared" si="136"/>
        <v>100.12296155220761</v>
      </c>
      <c r="L191" s="93">
        <f t="shared" si="136"/>
        <v>77.42335442093922</v>
      </c>
      <c r="M191" s="93">
        <f t="shared" si="136"/>
        <v>48.632221652858775</v>
      </c>
      <c r="N191" s="93">
        <f t="shared" si="136"/>
        <v>15.287579211979176</v>
      </c>
      <c r="O191" s="93">
        <f t="shared" si="136"/>
        <v>-20.515616332554956</v>
      </c>
      <c r="P191" s="93">
        <f t="shared" si="136"/>
        <v>-56.1401762571793</v>
      </c>
      <c r="Q191" s="93">
        <f t="shared" si="136"/>
        <v>-88.49926890970866</v>
      </c>
      <c r="R191" s="93">
        <f t="shared" si="136"/>
        <v>-114.26154266572755</v>
      </c>
      <c r="S191" s="93">
        <f t="shared" si="136"/>
        <v>-130.25393910199642</v>
      </c>
      <c r="T191" s="93">
        <f t="shared" si="136"/>
        <v>-134.20163149883803</v>
      </c>
      <c r="U191" s="93">
        <f t="shared" si="136"/>
        <v>-125.80058823076968</v>
      </c>
      <c r="V191" s="93">
        <f t="shared" si="136"/>
        <v>-107.43260586291953</v>
      </c>
      <c r="W191" s="93">
        <f t="shared" si="136"/>
        <v>-83.19080848887207</v>
      </c>
      <c r="X191" s="93">
        <f t="shared" si="136"/>
        <v>-56.44224111496018</v>
      </c>
      <c r="Y191" s="93">
        <f t="shared" si="136"/>
        <v>-28.587538686000403</v>
      </c>
      <c r="Z191" s="93">
        <f>$D$7*$F$13*(Z77-$B$77)</f>
        <v>-3.4852121189032916E-14</v>
      </c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  <c r="DZ191" s="93"/>
      <c r="EA191" s="93"/>
      <c r="EB191" s="93"/>
      <c r="EC191" s="93"/>
      <c r="ED191" s="93"/>
      <c r="EE191" s="93"/>
      <c r="EF191" s="93"/>
      <c r="EG191" s="93"/>
      <c r="EH191" s="93"/>
      <c r="EI191" s="93"/>
      <c r="EJ191" s="93"/>
      <c r="EK191" s="93"/>
      <c r="EL191" s="93"/>
      <c r="EM191" s="93"/>
      <c r="EN191" s="93"/>
      <c r="EO191" s="93"/>
      <c r="EP191" s="93"/>
      <c r="EQ191" s="93"/>
      <c r="ER191" s="93"/>
      <c r="ES191" s="93"/>
      <c r="ET191" s="93"/>
      <c r="EU191" s="93"/>
      <c r="EV191" s="93"/>
      <c r="EW191" s="93"/>
      <c r="EX191" s="93"/>
      <c r="EY191" s="93"/>
      <c r="EZ191" s="93"/>
      <c r="FA191" s="93"/>
      <c r="FB191" s="93"/>
      <c r="FC191" s="93"/>
      <c r="FD191" s="93"/>
      <c r="FE191" s="93"/>
      <c r="FF191" s="93"/>
      <c r="FG191" s="93"/>
      <c r="FH191" s="93"/>
      <c r="FI191" s="93"/>
      <c r="FJ191" s="93"/>
      <c r="FK191" s="93"/>
      <c r="FL191" s="93"/>
      <c r="FM191" s="93"/>
      <c r="FN191" s="93"/>
      <c r="FO191" s="93"/>
      <c r="FP191" s="93"/>
      <c r="FQ191" s="93"/>
      <c r="FR191" s="93"/>
      <c r="FS191" s="93"/>
      <c r="FT191" s="93"/>
      <c r="FU191" s="93"/>
      <c r="FV191" s="93"/>
      <c r="FW191" s="93"/>
      <c r="FX191" s="93"/>
      <c r="FY191" s="93"/>
      <c r="FZ191" s="93"/>
      <c r="GA191" s="93"/>
      <c r="GB191" s="93"/>
      <c r="GC191" s="93"/>
      <c r="GD191" s="93"/>
      <c r="GE191" s="93"/>
      <c r="GF191" s="93"/>
      <c r="GG191" s="93"/>
      <c r="GH191" s="93"/>
      <c r="GI191" s="93"/>
      <c r="GJ191" s="93"/>
      <c r="GK191" s="93"/>
      <c r="GL191" s="93"/>
      <c r="GM191" s="93"/>
      <c r="GN191" s="93"/>
      <c r="GO191" s="93"/>
      <c r="GP191" s="93"/>
      <c r="GQ191" s="93"/>
      <c r="GR191" s="93"/>
      <c r="GS191" s="93"/>
      <c r="GT191" s="93"/>
      <c r="GU191" s="93"/>
      <c r="GV191" s="93"/>
      <c r="GW191" s="93"/>
      <c r="GX191" s="93"/>
      <c r="GY191" s="93"/>
      <c r="GZ191" s="93"/>
      <c r="HA191" s="93"/>
      <c r="HB191" s="93"/>
      <c r="HC191" s="93"/>
      <c r="HD191" s="93"/>
      <c r="HE191" s="93"/>
      <c r="HF191" s="93"/>
      <c r="HG191" s="93"/>
      <c r="HH191" s="93"/>
      <c r="HI191" s="93"/>
      <c r="HJ191" s="93"/>
      <c r="HK191" s="93"/>
      <c r="HL191" s="93"/>
      <c r="HM191" s="93"/>
      <c r="HN191" s="93"/>
      <c r="HO191" s="93"/>
      <c r="HP191" s="93"/>
      <c r="HQ191" s="93"/>
      <c r="HR191" s="93"/>
      <c r="HS191" s="93"/>
      <c r="HT191" s="93"/>
      <c r="HU191" s="93"/>
      <c r="HV191" s="93"/>
      <c r="HW191" s="93"/>
      <c r="HX191" s="93"/>
      <c r="HY191" s="93"/>
      <c r="HZ191" s="93"/>
      <c r="IA191" s="93"/>
      <c r="IB191" s="93"/>
      <c r="IC191" s="93"/>
      <c r="ID191" s="93"/>
      <c r="IE191" s="93"/>
      <c r="IF191" s="93"/>
      <c r="IG191" s="93"/>
      <c r="IH191" s="93"/>
      <c r="II191" s="93"/>
      <c r="IJ191" s="93"/>
      <c r="IK191" s="93"/>
      <c r="IL191" s="93"/>
      <c r="IM191" s="93"/>
      <c r="IN191" s="93"/>
      <c r="IO191" s="93"/>
      <c r="IP191" s="93"/>
      <c r="IQ191" s="93"/>
      <c r="IR191" s="93"/>
      <c r="IS191" s="93"/>
      <c r="IT191" s="93"/>
      <c r="IU191" s="93"/>
      <c r="IV191" s="93"/>
    </row>
    <row r="192" spans="1:256" s="97" customFormat="1" ht="12.75">
      <c r="A192" s="27" t="s">
        <v>143</v>
      </c>
      <c r="B192" s="95">
        <f aca="true" t="shared" si="137" ref="B192:Y192">$D$8*$F$13*(B93-$B$93)</f>
        <v>0</v>
      </c>
      <c r="C192" s="96">
        <f t="shared" si="137"/>
        <v>5.748026677443941</v>
      </c>
      <c r="D192" s="96">
        <f t="shared" si="137"/>
        <v>15.908099372711456</v>
      </c>
      <c r="E192" s="96">
        <f t="shared" si="137"/>
        <v>28.16637407185691</v>
      </c>
      <c r="F192" s="96">
        <f t="shared" si="137"/>
        <v>40.54047518860363</v>
      </c>
      <c r="G192" s="96">
        <f t="shared" si="137"/>
        <v>51.600083015258285</v>
      </c>
      <c r="H192" s="96">
        <f t="shared" si="137"/>
        <v>60.52175034756887</v>
      </c>
      <c r="I192" s="96">
        <f t="shared" si="137"/>
        <v>67.04114188954854</v>
      </c>
      <c r="J192" s="96">
        <f t="shared" si="137"/>
        <v>71.33136399237164</v>
      </c>
      <c r="K192" s="96">
        <f t="shared" si="137"/>
        <v>73.83580686348071</v>
      </c>
      <c r="L192" s="96">
        <f t="shared" si="137"/>
        <v>75.09593213815134</v>
      </c>
      <c r="M192" s="96">
        <f t="shared" si="137"/>
        <v>75.61438562908195</v>
      </c>
      <c r="N192" s="96">
        <f t="shared" si="137"/>
        <v>75.7726387526949</v>
      </c>
      <c r="O192" s="96">
        <f t="shared" si="137"/>
        <v>75.79314062847048</v>
      </c>
      <c r="P192" s="96">
        <f t="shared" si="137"/>
        <v>75.71679992264909</v>
      </c>
      <c r="Q192" s="96">
        <f t="shared" si="137"/>
        <v>75.36245249516953</v>
      </c>
      <c r="R192" s="96">
        <f t="shared" si="137"/>
        <v>74.2432126691274</v>
      </c>
      <c r="S192" s="96">
        <f t="shared" si="137"/>
        <v>71.4492636917484</v>
      </c>
      <c r="T192" s="96">
        <f t="shared" si="137"/>
        <v>65.62205418438712</v>
      </c>
      <c r="U192" s="96">
        <f t="shared" si="137"/>
        <v>55.379738396848445</v>
      </c>
      <c r="V192" s="96">
        <f t="shared" si="137"/>
        <v>40.572629143426376</v>
      </c>
      <c r="W192" s="96">
        <f t="shared" si="137"/>
        <v>23.65606079649878</v>
      </c>
      <c r="X192" s="96">
        <f t="shared" si="137"/>
        <v>9.113989374821339</v>
      </c>
      <c r="Y192" s="96">
        <f t="shared" si="137"/>
        <v>0.7919754549445243</v>
      </c>
      <c r="Z192" s="96">
        <f>$D$8*$F$13*(Z93-$B$93)</f>
        <v>0</v>
      </c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  <c r="EP192" s="96"/>
      <c r="EQ192" s="96"/>
      <c r="ER192" s="96"/>
      <c r="ES192" s="96"/>
      <c r="ET192" s="96"/>
      <c r="EU192" s="96"/>
      <c r="EV192" s="96"/>
      <c r="EW192" s="96"/>
      <c r="EX192" s="96"/>
      <c r="EY192" s="96"/>
      <c r="EZ192" s="96"/>
      <c r="FA192" s="96"/>
      <c r="FB192" s="96"/>
      <c r="FC192" s="96"/>
      <c r="FD192" s="96"/>
      <c r="FE192" s="96"/>
      <c r="FF192" s="96"/>
      <c r="FG192" s="96"/>
      <c r="FH192" s="96"/>
      <c r="FI192" s="96"/>
      <c r="FJ192" s="96"/>
      <c r="FK192" s="96"/>
      <c r="FL192" s="96"/>
      <c r="FM192" s="96"/>
      <c r="FN192" s="96"/>
      <c r="FO192" s="96"/>
      <c r="FP192" s="96"/>
      <c r="FQ192" s="96"/>
      <c r="FR192" s="96"/>
      <c r="FS192" s="96"/>
      <c r="FT192" s="96"/>
      <c r="FU192" s="96"/>
      <c r="FV192" s="96"/>
      <c r="FW192" s="96"/>
      <c r="FX192" s="96"/>
      <c r="FY192" s="96"/>
      <c r="FZ192" s="96"/>
      <c r="GA192" s="96"/>
      <c r="GB192" s="96"/>
      <c r="GC192" s="96"/>
      <c r="GD192" s="96"/>
      <c r="GE192" s="96"/>
      <c r="GF192" s="96"/>
      <c r="GG192" s="96"/>
      <c r="GH192" s="96"/>
      <c r="GI192" s="96"/>
      <c r="GJ192" s="96"/>
      <c r="GK192" s="96"/>
      <c r="GL192" s="96"/>
      <c r="GM192" s="96"/>
      <c r="GN192" s="96"/>
      <c r="GO192" s="96"/>
      <c r="GP192" s="96"/>
      <c r="GQ192" s="96"/>
      <c r="GR192" s="96"/>
      <c r="GS192" s="96"/>
      <c r="GT192" s="96"/>
      <c r="GU192" s="96"/>
      <c r="GV192" s="96"/>
      <c r="GW192" s="96"/>
      <c r="GX192" s="96"/>
      <c r="GY192" s="96"/>
      <c r="GZ192" s="96"/>
      <c r="HA192" s="96"/>
      <c r="HB192" s="96"/>
      <c r="HC192" s="96"/>
      <c r="HD192" s="96"/>
      <c r="HE192" s="96"/>
      <c r="HF192" s="96"/>
      <c r="HG192" s="96"/>
      <c r="HH192" s="96"/>
      <c r="HI192" s="96"/>
      <c r="HJ192" s="96"/>
      <c r="HK192" s="96"/>
      <c r="HL192" s="96"/>
      <c r="HM192" s="96"/>
      <c r="HN192" s="96"/>
      <c r="HO192" s="96"/>
      <c r="HP192" s="96"/>
      <c r="HQ192" s="96"/>
      <c r="HR192" s="96"/>
      <c r="HS192" s="96"/>
      <c r="HT192" s="96"/>
      <c r="HU192" s="96"/>
      <c r="HV192" s="96"/>
      <c r="HW192" s="96"/>
      <c r="HX192" s="96"/>
      <c r="HY192" s="96"/>
      <c r="HZ192" s="96"/>
      <c r="IA192" s="96"/>
      <c r="IB192" s="96"/>
      <c r="IC192" s="96"/>
      <c r="ID192" s="96"/>
      <c r="IE192" s="96"/>
      <c r="IF192" s="96"/>
      <c r="IG192" s="96"/>
      <c r="IH192" s="96"/>
      <c r="II192" s="96"/>
      <c r="IJ192" s="96"/>
      <c r="IK192" s="96"/>
      <c r="IL192" s="96"/>
      <c r="IM192" s="96"/>
      <c r="IN192" s="96"/>
      <c r="IO192" s="96"/>
      <c r="IP192" s="96"/>
      <c r="IQ192" s="96"/>
      <c r="IR192" s="96"/>
      <c r="IS192" s="96"/>
      <c r="IT192" s="96"/>
      <c r="IU192" s="96"/>
      <c r="IV192" s="96"/>
    </row>
    <row r="193" spans="1:182" ht="12.75">
      <c r="A193" s="31" t="s">
        <v>168</v>
      </c>
      <c r="B193" s="76"/>
      <c r="AA193" s="41"/>
      <c r="FZ193" s="41"/>
    </row>
    <row r="194" spans="1:2" s="64" customFormat="1" ht="13.5" customHeight="1" thickBot="1">
      <c r="A194" s="29" t="s">
        <v>147</v>
      </c>
      <c r="B194" s="77"/>
    </row>
    <row r="195" spans="9:182" ht="13.5" customHeight="1"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</row>
    <row r="196" spans="1:182" ht="13.5" customHeight="1" thickBot="1">
      <c r="A196" s="30" t="s">
        <v>155</v>
      </c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</row>
    <row r="197" spans="1:26" s="99" customFormat="1" ht="13.5" customHeight="1">
      <c r="A197" s="13" t="s">
        <v>156</v>
      </c>
      <c r="B197" s="98">
        <f aca="true" t="shared" si="138" ref="B197:Y197">$D$6*$F$13*B45</f>
        <v>70.0434</v>
      </c>
      <c r="C197" s="99">
        <f t="shared" si="138"/>
        <v>67.65672902109573</v>
      </c>
      <c r="D197" s="99">
        <f t="shared" si="138"/>
        <v>60.81816961042096</v>
      </c>
      <c r="E197" s="99">
        <f t="shared" si="138"/>
        <v>49.91715640085008</v>
      </c>
      <c r="F197" s="99">
        <f t="shared" si="138"/>
        <v>35.57110135264596</v>
      </c>
      <c r="G197" s="99">
        <f t="shared" si="138"/>
        <v>18.60131947324883</v>
      </c>
      <c r="H197" s="99">
        <f t="shared" si="138"/>
        <v>4.457867089518602E-15</v>
      </c>
      <c r="I197" s="99">
        <f t="shared" si="138"/>
        <v>-19.112482256596746</v>
      </c>
      <c r="J197" s="99">
        <f t="shared" si="138"/>
        <v>-37.54021615174626</v>
      </c>
      <c r="K197" s="99">
        <f t="shared" si="138"/>
        <v>-54.073796927933984</v>
      </c>
      <c r="L197" s="99">
        <f t="shared" si="138"/>
        <v>-67.55997166320628</v>
      </c>
      <c r="M197" s="99">
        <f t="shared" si="138"/>
        <v>-76.97570862788787</v>
      </c>
      <c r="N197" s="99">
        <f t="shared" si="138"/>
        <v>-81.50219464533284</v>
      </c>
      <c r="O197" s="99">
        <f t="shared" si="138"/>
        <v>-80.59325235494101</v>
      </c>
      <c r="P197" s="99">
        <f t="shared" si="138"/>
        <v>-74.0321544074666</v>
      </c>
      <c r="Q197" s="99">
        <f t="shared" si="138"/>
        <v>-61.97091754857518</v>
      </c>
      <c r="R197" s="99">
        <f t="shared" si="138"/>
        <v>-44.94692799399604</v>
      </c>
      <c r="S197" s="99">
        <f t="shared" si="138"/>
        <v>-23.873140872433243</v>
      </c>
      <c r="T197" s="99">
        <f t="shared" si="138"/>
        <v>-1.7397298383661338E-14</v>
      </c>
      <c r="U197" s="99">
        <f t="shared" si="138"/>
        <v>25.1505260830668</v>
      </c>
      <c r="V197" s="99">
        <f t="shared" si="138"/>
        <v>49.876002026511564</v>
      </c>
      <c r="W197" s="99">
        <f t="shared" si="138"/>
        <v>72.40456777222917</v>
      </c>
      <c r="X197" s="99">
        <f t="shared" si="138"/>
        <v>91.01882361521567</v>
      </c>
      <c r="Y197" s="99">
        <f t="shared" si="138"/>
        <v>104.18386713692331</v>
      </c>
      <c r="Z197" s="99">
        <f>$D$6*$F$13*Z45</f>
        <v>110.66987842258251</v>
      </c>
    </row>
    <row r="198" spans="1:26" s="42" customFormat="1" ht="12.75">
      <c r="A198" s="14" t="s">
        <v>157</v>
      </c>
      <c r="B198" s="100">
        <f aca="true" t="shared" si="139" ref="B198:Y198">$D$7*$F$13*B79</f>
        <v>110.02425405344397</v>
      </c>
      <c r="C198" s="42">
        <f t="shared" si="139"/>
        <v>108.5000253908811</v>
      </c>
      <c r="D198" s="42">
        <f t="shared" si="139"/>
        <v>101.5269078033334</v>
      </c>
      <c r="E198" s="42">
        <f t="shared" si="139"/>
        <v>88.16199030149707</v>
      </c>
      <c r="F198" s="42">
        <f t="shared" si="139"/>
        <v>68.62094728202867</v>
      </c>
      <c r="G198" s="42">
        <f t="shared" si="139"/>
        <v>43.86074994031404</v>
      </c>
      <c r="H198" s="42">
        <f t="shared" si="139"/>
        <v>15.189972150514357</v>
      </c>
      <c r="I198" s="42">
        <f t="shared" si="139"/>
        <v>-15.999087220381327</v>
      </c>
      <c r="J198" s="42">
        <f t="shared" si="139"/>
        <v>-48.33278307976623</v>
      </c>
      <c r="K198" s="42">
        <f t="shared" si="139"/>
        <v>-80.3755266471685</v>
      </c>
      <c r="L198" s="42">
        <f t="shared" si="139"/>
        <v>-110.42616645933163</v>
      </c>
      <c r="M198" s="42">
        <f t="shared" si="139"/>
        <v>-136.32918961189745</v>
      </c>
      <c r="N198" s="42">
        <f t="shared" si="139"/>
        <v>-155.42751508434063</v>
      </c>
      <c r="O198" s="42">
        <f t="shared" si="139"/>
        <v>-164.69232678295302</v>
      </c>
      <c r="P198" s="42">
        <f t="shared" si="139"/>
        <v>-160.99975663587384</v>
      </c>
      <c r="Q198" s="42">
        <f t="shared" si="139"/>
        <v>-141.5670712613363</v>
      </c>
      <c r="R198" s="42">
        <f t="shared" si="139"/>
        <v>-104.72609265784848</v>
      </c>
      <c r="S198" s="42">
        <f t="shared" si="139"/>
        <v>-51.424984847199234</v>
      </c>
      <c r="T198" s="42">
        <f t="shared" si="139"/>
        <v>12.363832292238753</v>
      </c>
      <c r="U198" s="42">
        <f t="shared" si="139"/>
        <v>74.16080035373984</v>
      </c>
      <c r="V198" s="42">
        <f t="shared" si="139"/>
        <v>119.72778873391367</v>
      </c>
      <c r="W198" s="42">
        <f t="shared" si="139"/>
        <v>144.56603484705724</v>
      </c>
      <c r="X198" s="42">
        <f t="shared" si="139"/>
        <v>157.02371574933193</v>
      </c>
      <c r="Y198" s="42">
        <f t="shared" si="139"/>
        <v>166.30746828781568</v>
      </c>
      <c r="Z198" s="42">
        <f>$D$7*$F$13*Z79</f>
        <v>173.8403735345511</v>
      </c>
    </row>
    <row r="199" spans="1:26" s="42" customFormat="1" ht="12.75">
      <c r="A199" s="14" t="s">
        <v>158</v>
      </c>
      <c r="B199" s="100">
        <f aca="true" t="shared" si="140" ref="B199:Y199">$D$8*$F$13*B95</f>
        <v>10.608407294199683</v>
      </c>
      <c r="C199" s="42">
        <f t="shared" si="140"/>
        <v>31.887220130108123</v>
      </c>
      <c r="D199" s="42">
        <f t="shared" si="140"/>
        <v>44.34157680831997</v>
      </c>
      <c r="E199" s="42">
        <f t="shared" si="140"/>
        <v>48.52381390290948</v>
      </c>
      <c r="F199" s="42">
        <f t="shared" si="140"/>
        <v>46.18527561688681</v>
      </c>
      <c r="G199" s="42">
        <f t="shared" si="140"/>
        <v>39.500164850392494</v>
      </c>
      <c r="H199" s="42">
        <f t="shared" si="140"/>
        <v>30.649439265150363</v>
      </c>
      <c r="I199" s="42">
        <f t="shared" si="140"/>
        <v>21.534357900253426</v>
      </c>
      <c r="J199" s="42">
        <f t="shared" si="140"/>
        <v>13.551940788625632</v>
      </c>
      <c r="K199" s="42">
        <f t="shared" si="140"/>
        <v>7.471457567102129</v>
      </c>
      <c r="L199" s="42">
        <f t="shared" si="140"/>
        <v>3.46200375259344</v>
      </c>
      <c r="M199" s="42">
        <f t="shared" si="140"/>
        <v>1.2484075353089996</v>
      </c>
      <c r="N199" s="42">
        <f t="shared" si="140"/>
        <v>0.2960487105916585</v>
      </c>
      <c r="O199" s="42">
        <f t="shared" si="140"/>
        <v>-0.08271139123600288</v>
      </c>
      <c r="P199" s="42">
        <f t="shared" si="140"/>
        <v>-0.7613164365873168</v>
      </c>
      <c r="Q199" s="42">
        <f t="shared" si="140"/>
        <v>-2.983970012865676</v>
      </c>
      <c r="R199" s="42">
        <f t="shared" si="140"/>
        <v>-8.649864904532523</v>
      </c>
      <c r="S199" s="42">
        <f t="shared" si="140"/>
        <v>-20.399761472041526</v>
      </c>
      <c r="T199" s="42">
        <f t="shared" si="140"/>
        <v>-40.53250893595524</v>
      </c>
      <c r="U199" s="42">
        <f t="shared" si="140"/>
        <v>-67.23717986204302</v>
      </c>
      <c r="V199" s="42">
        <f t="shared" si="140"/>
        <v>-89.80539186524284</v>
      </c>
      <c r="W199" s="42">
        <f t="shared" si="140"/>
        <v>-92.26142118937751</v>
      </c>
      <c r="X199" s="42">
        <f t="shared" si="140"/>
        <v>-68.12250945742315</v>
      </c>
      <c r="Y199" s="42">
        <f t="shared" si="140"/>
        <v>-26.753602352281572</v>
      </c>
      <c r="Z199" s="42">
        <f>$D$8*$F$13*Z95</f>
        <v>16.761481388772022</v>
      </c>
    </row>
    <row r="200" spans="1:26" s="42" customFormat="1" ht="12.75">
      <c r="A200" s="14" t="s">
        <v>169</v>
      </c>
      <c r="B200" s="100">
        <f>$F$17*$F$13*B117</f>
        <v>5.310613557058307</v>
      </c>
      <c r="C200" s="100">
        <f aca="true" t="shared" si="141" ref="C200:Z200">$F$17*$F$13*C117</f>
        <v>4.8228766073343206</v>
      </c>
      <c r="D200" s="100">
        <f t="shared" si="141"/>
        <v>3.8212604016754455</v>
      </c>
      <c r="E200" s="100">
        <f t="shared" si="141"/>
        <v>2.573257027594494</v>
      </c>
      <c r="F200" s="100">
        <f t="shared" si="141"/>
        <v>1.3172087623320494</v>
      </c>
      <c r="G200" s="100">
        <f t="shared" si="141"/>
        <v>0.246883127847512</v>
      </c>
      <c r="H200" s="100">
        <f t="shared" si="141"/>
        <v>-0.5061788942250677</v>
      </c>
      <c r="I200" s="100">
        <f t="shared" si="141"/>
        <v>-0.8880005206953878</v>
      </c>
      <c r="J200" s="100">
        <f t="shared" si="141"/>
        <v>-0.9260153929320055</v>
      </c>
      <c r="K200" s="100">
        <f t="shared" si="141"/>
        <v>-0.7150643360216785</v>
      </c>
      <c r="L200" s="100">
        <f t="shared" si="141"/>
        <v>-0.39014299947968484</v>
      </c>
      <c r="M200" s="100">
        <f t="shared" si="141"/>
        <v>-0.10114546282684002</v>
      </c>
      <c r="N200" s="100">
        <f t="shared" si="141"/>
        <v>-0.00382275803214352</v>
      </c>
      <c r="O200" s="100">
        <f t="shared" si="141"/>
        <v>-0.26750224643530246</v>
      </c>
      <c r="P200" s="100">
        <f t="shared" si="141"/>
        <v>-1.0795060741741265</v>
      </c>
      <c r="Q200" s="100">
        <f t="shared" si="141"/>
        <v>-2.596605004575473</v>
      </c>
      <c r="R200" s="100">
        <f t="shared" si="141"/>
        <v>-4.761587490570606</v>
      </c>
      <c r="S200" s="100">
        <f t="shared" si="141"/>
        <v>-6.967381125531179</v>
      </c>
      <c r="T200" s="100">
        <f t="shared" si="141"/>
        <v>-7.924998170466817</v>
      </c>
      <c r="U200" s="100">
        <f t="shared" si="141"/>
        <v>-6.439538863485735</v>
      </c>
      <c r="V200" s="100">
        <f t="shared" si="141"/>
        <v>-2.7006389403121682</v>
      </c>
      <c r="W200" s="100">
        <f t="shared" si="141"/>
        <v>1.7663251494359187</v>
      </c>
      <c r="X200" s="100">
        <f t="shared" si="141"/>
        <v>5.462509913086168</v>
      </c>
      <c r="Y200" s="100">
        <f t="shared" si="141"/>
        <v>7.689376559320573</v>
      </c>
      <c r="Z200" s="100">
        <f t="shared" si="141"/>
        <v>8.390868471675581</v>
      </c>
    </row>
    <row r="201" spans="1:26" s="65" customFormat="1" ht="13.5" thickBot="1">
      <c r="A201" s="25" t="s">
        <v>291</v>
      </c>
      <c r="B201" s="101">
        <f>$D$17*$F$13*B117</f>
        <v>265.53067785291535</v>
      </c>
      <c r="C201" s="101">
        <f>$D$17*$F$13*C117</f>
        <v>241.143830366716</v>
      </c>
      <c r="D201" s="101">
        <f aca="true" t="shared" si="142" ref="D201:Z201">$D$17*$F$13*D117</f>
        <v>191.06302008377227</v>
      </c>
      <c r="E201" s="101">
        <f t="shared" si="142"/>
        <v>128.6628513797247</v>
      </c>
      <c r="F201" s="101">
        <f t="shared" si="142"/>
        <v>65.86043811660247</v>
      </c>
      <c r="G201" s="101">
        <f t="shared" si="142"/>
        <v>12.3441563923756</v>
      </c>
      <c r="H201" s="101">
        <f t="shared" si="142"/>
        <v>-25.308944711253382</v>
      </c>
      <c r="I201" s="101">
        <f t="shared" si="142"/>
        <v>-44.40002603476939</v>
      </c>
      <c r="J201" s="101">
        <f t="shared" si="142"/>
        <v>-46.30076964660027</v>
      </c>
      <c r="K201" s="101">
        <f t="shared" si="142"/>
        <v>-35.75321680108393</v>
      </c>
      <c r="L201" s="101">
        <f t="shared" si="142"/>
        <v>-19.50714997398424</v>
      </c>
      <c r="M201" s="101">
        <f t="shared" si="142"/>
        <v>-5.057273141342002</v>
      </c>
      <c r="N201" s="101">
        <f t="shared" si="142"/>
        <v>-0.191137901607176</v>
      </c>
      <c r="O201" s="101">
        <f t="shared" si="142"/>
        <v>-13.375112321765124</v>
      </c>
      <c r="P201" s="101">
        <f t="shared" si="142"/>
        <v>-53.97530370870632</v>
      </c>
      <c r="Q201" s="101">
        <f t="shared" si="142"/>
        <v>-129.83025022877365</v>
      </c>
      <c r="R201" s="101">
        <f t="shared" si="142"/>
        <v>-238.07937452853028</v>
      </c>
      <c r="S201" s="101">
        <f t="shared" si="142"/>
        <v>-348.3690562765589</v>
      </c>
      <c r="T201" s="101">
        <f t="shared" si="142"/>
        <v>-396.2499085233409</v>
      </c>
      <c r="U201" s="101">
        <f t="shared" si="142"/>
        <v>-321.97694317428676</v>
      </c>
      <c r="V201" s="101">
        <f t="shared" si="142"/>
        <v>-135.0319470156084</v>
      </c>
      <c r="W201" s="101">
        <f t="shared" si="142"/>
        <v>88.31625747179592</v>
      </c>
      <c r="X201" s="101">
        <f t="shared" si="142"/>
        <v>273.1254956543084</v>
      </c>
      <c r="Y201" s="101">
        <f t="shared" si="142"/>
        <v>384.4688279660287</v>
      </c>
      <c r="Z201" s="101">
        <f t="shared" si="142"/>
        <v>419.5434235837791</v>
      </c>
    </row>
    <row r="202" spans="1:182" ht="13.5" customHeight="1" thickBot="1">
      <c r="A202" s="25" t="s">
        <v>170</v>
      </c>
      <c r="B202" s="41">
        <f>SUM(B197:B201)</f>
        <v>461.5173527576173</v>
      </c>
      <c r="C202" s="41">
        <f aca="true" t="shared" si="143" ref="C202:Z202">SUM(C197:C201)</f>
        <v>454.01068151613526</v>
      </c>
      <c r="D202" s="41">
        <f t="shared" si="143"/>
        <v>401.57093470752204</v>
      </c>
      <c r="E202" s="41">
        <f t="shared" si="143"/>
        <v>317.8390690125758</v>
      </c>
      <c r="F202" s="41">
        <f t="shared" si="143"/>
        <v>217.55497113049597</v>
      </c>
      <c r="G202" s="41">
        <f t="shared" si="143"/>
        <v>114.55327378417847</v>
      </c>
      <c r="H202" s="41">
        <f t="shared" si="143"/>
        <v>20.02428781018628</v>
      </c>
      <c r="I202" s="41">
        <f t="shared" si="143"/>
        <v>-58.865238132189425</v>
      </c>
      <c r="J202" s="41">
        <f t="shared" si="143"/>
        <v>-119.54784348241914</v>
      </c>
      <c r="K202" s="41">
        <f t="shared" si="143"/>
        <v>-163.44614714510595</v>
      </c>
      <c r="L202" s="41">
        <f t="shared" si="143"/>
        <v>-194.4214273434084</v>
      </c>
      <c r="M202" s="41">
        <f t="shared" si="143"/>
        <v>-217.21490930864513</v>
      </c>
      <c r="N202" s="41">
        <f t="shared" si="143"/>
        <v>-236.8286216787211</v>
      </c>
      <c r="O202" s="41">
        <f t="shared" si="143"/>
        <v>-259.01090509733046</v>
      </c>
      <c r="P202" s="41">
        <f t="shared" si="143"/>
        <v>-290.84803726280825</v>
      </c>
      <c r="Q202" s="41">
        <f t="shared" si="143"/>
        <v>-338.9488140561263</v>
      </c>
      <c r="R202" s="41">
        <f t="shared" si="143"/>
        <v>-401.1638475754779</v>
      </c>
      <c r="S202" s="41">
        <f t="shared" si="143"/>
        <v>-451.0343245937641</v>
      </c>
      <c r="T202" s="41">
        <f t="shared" si="143"/>
        <v>-432.3435833375242</v>
      </c>
      <c r="U202" s="41">
        <f t="shared" si="143"/>
        <v>-296.3423354630089</v>
      </c>
      <c r="V202" s="41">
        <f t="shared" si="143"/>
        <v>-57.934187060738196</v>
      </c>
      <c r="W202" s="41">
        <f t="shared" si="143"/>
        <v>214.79176405114072</v>
      </c>
      <c r="X202" s="41">
        <f t="shared" si="143"/>
        <v>458.50803547451903</v>
      </c>
      <c r="Y202" s="41">
        <f t="shared" si="143"/>
        <v>635.8959375978067</v>
      </c>
      <c r="Z202" s="41">
        <f t="shared" si="143"/>
        <v>729.2060254013603</v>
      </c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</row>
    <row r="203" spans="1:182" ht="13.5" customHeight="1" thickBot="1">
      <c r="A203" s="105" t="s">
        <v>193</v>
      </c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</row>
    <row r="204" spans="1:182" s="39" customFormat="1" ht="13.5" customHeight="1">
      <c r="A204" s="102" t="s">
        <v>198</v>
      </c>
      <c r="B204" s="107">
        <f aca="true" t="shared" si="144" ref="B204:Z204">B114</f>
        <v>1.4505347746458157</v>
      </c>
      <c r="C204" s="107">
        <f t="shared" si="144"/>
        <v>1.3173148747504422</v>
      </c>
      <c r="D204" s="107">
        <f t="shared" si="144"/>
        <v>1.0437345960223883</v>
      </c>
      <c r="E204" s="107">
        <f t="shared" si="144"/>
        <v>0.7028564143340019</v>
      </c>
      <c r="F204" s="107">
        <f t="shared" si="144"/>
        <v>0.35978086047917557</v>
      </c>
      <c r="G204" s="107">
        <f t="shared" si="144"/>
        <v>0.06743336873762533</v>
      </c>
      <c r="H204" s="107">
        <f t="shared" si="144"/>
        <v>-0.1382571110431045</v>
      </c>
      <c r="I204" s="107">
        <f t="shared" si="144"/>
        <v>-0.24254742344418512</v>
      </c>
      <c r="J204" s="107">
        <f t="shared" si="144"/>
        <v>-0.2529307611772881</v>
      </c>
      <c r="K204" s="107">
        <f t="shared" si="144"/>
        <v>-0.1953118362622892</v>
      </c>
      <c r="L204" s="107">
        <f t="shared" si="144"/>
        <v>-0.10656320249055806</v>
      </c>
      <c r="M204" s="107">
        <f t="shared" si="144"/>
        <v>-0.027626753397068216</v>
      </c>
      <c r="N204" s="107">
        <f t="shared" si="144"/>
        <v>-0.0010441436570565177</v>
      </c>
      <c r="O204" s="107">
        <f t="shared" si="144"/>
        <v>-0.07306525066855296</v>
      </c>
      <c r="P204" s="107">
        <f t="shared" si="144"/>
        <v>-0.2948550262991323</v>
      </c>
      <c r="Q204" s="107">
        <f t="shared" si="144"/>
        <v>-0.70923365345424</v>
      </c>
      <c r="R204" s="107">
        <f t="shared" si="144"/>
        <v>-1.3005744370933026</v>
      </c>
      <c r="S204" s="107">
        <f t="shared" si="144"/>
        <v>-1.9030623302201077</v>
      </c>
      <c r="T204" s="107">
        <f t="shared" si="144"/>
        <v>-2.164624729658214</v>
      </c>
      <c r="U204" s="107">
        <f t="shared" si="144"/>
        <v>-1.7588881122322448</v>
      </c>
      <c r="V204" s="107">
        <f t="shared" si="144"/>
        <v>-0.7376493609629851</v>
      </c>
      <c r="W204" s="107">
        <f t="shared" si="144"/>
        <v>0.4824519850786304</v>
      </c>
      <c r="X204" s="107">
        <f t="shared" si="144"/>
        <v>1.4920235676436704</v>
      </c>
      <c r="Y204" s="107">
        <f t="shared" si="144"/>
        <v>2.1002673184187075</v>
      </c>
      <c r="Z204" s="107">
        <f t="shared" si="144"/>
        <v>2.2918719987576357</v>
      </c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7"/>
      <c r="CF204" s="107"/>
      <c r="CG204" s="107"/>
      <c r="CH204" s="107"/>
      <c r="CI204" s="107"/>
      <c r="CJ204" s="107"/>
      <c r="CK204" s="107"/>
      <c r="CL204" s="107"/>
      <c r="CM204" s="107"/>
      <c r="CN204" s="107"/>
      <c r="CO204" s="107"/>
      <c r="CP204" s="107"/>
      <c r="CQ204" s="107"/>
      <c r="CR204" s="107"/>
      <c r="CS204" s="107"/>
      <c r="CT204" s="107"/>
      <c r="CU204" s="107"/>
      <c r="CV204" s="107"/>
      <c r="CW204" s="107"/>
      <c r="CX204" s="107"/>
      <c r="CY204" s="107"/>
      <c r="CZ204" s="107"/>
      <c r="DA204" s="107"/>
      <c r="DB204" s="107"/>
      <c r="DC204" s="107"/>
      <c r="DD204" s="107"/>
      <c r="DE204" s="107"/>
      <c r="DF204" s="107"/>
      <c r="DG204" s="107"/>
      <c r="DH204" s="107"/>
      <c r="DI204" s="107"/>
      <c r="DJ204" s="107"/>
      <c r="DK204" s="107"/>
      <c r="DL204" s="107"/>
      <c r="DM204" s="107"/>
      <c r="DN204" s="107"/>
      <c r="DO204" s="107"/>
      <c r="DP204" s="107"/>
      <c r="DQ204" s="107"/>
      <c r="DR204" s="107"/>
      <c r="DS204" s="107"/>
      <c r="DT204" s="107"/>
      <c r="DU204" s="107"/>
      <c r="DV204" s="107"/>
      <c r="DW204" s="107"/>
      <c r="DX204" s="107"/>
      <c r="DY204" s="107"/>
      <c r="DZ204" s="107"/>
      <c r="EA204" s="107"/>
      <c r="EB204" s="107"/>
      <c r="EC204" s="107"/>
      <c r="ED204" s="107"/>
      <c r="EE204" s="107"/>
      <c r="EF204" s="107"/>
      <c r="EG204" s="107"/>
      <c r="EH204" s="107"/>
      <c r="EI204" s="107"/>
      <c r="EJ204" s="107"/>
      <c r="EK204" s="107"/>
      <c r="EL204" s="107"/>
      <c r="EM204" s="107"/>
      <c r="EN204" s="107"/>
      <c r="EO204" s="107"/>
      <c r="EP204" s="107"/>
      <c r="EQ204" s="107"/>
      <c r="ER204" s="107"/>
      <c r="ES204" s="107"/>
      <c r="ET204" s="107"/>
      <c r="EU204" s="107"/>
      <c r="EV204" s="107"/>
      <c r="EW204" s="107"/>
      <c r="EX204" s="107"/>
      <c r="EY204" s="107"/>
      <c r="EZ204" s="107"/>
      <c r="FA204" s="107"/>
      <c r="FB204" s="107"/>
      <c r="FC204" s="107"/>
      <c r="FD204" s="107"/>
      <c r="FE204" s="107"/>
      <c r="FF204" s="107"/>
      <c r="FG204" s="107"/>
      <c r="FH204" s="107"/>
      <c r="FI204" s="107"/>
      <c r="FJ204" s="107"/>
      <c r="FK204" s="107"/>
      <c r="FL204" s="107"/>
      <c r="FM204" s="107"/>
      <c r="FN204" s="107"/>
      <c r="FO204" s="107"/>
      <c r="FP204" s="107"/>
      <c r="FQ204" s="107"/>
      <c r="FR204" s="107"/>
      <c r="FS204" s="107"/>
      <c r="FT204" s="107"/>
      <c r="FU204" s="107"/>
      <c r="FV204" s="107"/>
      <c r="FW204" s="107"/>
      <c r="FX204" s="107"/>
      <c r="FY204" s="107"/>
      <c r="FZ204" s="107"/>
    </row>
    <row r="205" spans="1:182" s="43" customFormat="1" ht="13.5" customHeight="1">
      <c r="A205" s="103" t="s">
        <v>199</v>
      </c>
      <c r="B205" s="108">
        <f aca="true" t="shared" si="145" ref="B205:Z205">B117</f>
        <v>5.413469477123656</v>
      </c>
      <c r="C205" s="108">
        <f t="shared" si="145"/>
        <v>4.916286042134883</v>
      </c>
      <c r="D205" s="108">
        <f t="shared" si="145"/>
        <v>3.8952705419729305</v>
      </c>
      <c r="E205" s="108">
        <f t="shared" si="145"/>
        <v>2.6230958487201774</v>
      </c>
      <c r="F205" s="108">
        <f t="shared" si="145"/>
        <v>1.3427204508991328</v>
      </c>
      <c r="G205" s="108">
        <f t="shared" si="145"/>
        <v>0.25166475825434453</v>
      </c>
      <c r="H205" s="108">
        <f t="shared" si="145"/>
        <v>-0.5159825629205582</v>
      </c>
      <c r="I205" s="108">
        <f t="shared" si="145"/>
        <v>-0.9051993075386215</v>
      </c>
      <c r="J205" s="108">
        <f t="shared" si="145"/>
        <v>-0.9439504515107089</v>
      </c>
      <c r="K205" s="108">
        <f t="shared" si="145"/>
        <v>-0.7289136962504368</v>
      </c>
      <c r="L205" s="108">
        <f t="shared" si="145"/>
        <v>-0.39769928591201303</v>
      </c>
      <c r="M205" s="108">
        <f t="shared" si="145"/>
        <v>-0.10310444732603467</v>
      </c>
      <c r="N205" s="108">
        <f t="shared" si="145"/>
        <v>-0.003896797178535698</v>
      </c>
      <c r="O205" s="108">
        <f t="shared" si="145"/>
        <v>-0.2726832277627956</v>
      </c>
      <c r="P205" s="108">
        <f t="shared" si="145"/>
        <v>-1.1004139390154193</v>
      </c>
      <c r="Q205" s="108">
        <f t="shared" si="145"/>
        <v>-2.6468960291289223</v>
      </c>
      <c r="R205" s="108">
        <f t="shared" si="145"/>
        <v>-4.853809878257498</v>
      </c>
      <c r="S205" s="108">
        <f t="shared" si="145"/>
        <v>-7.102325306351863</v>
      </c>
      <c r="T205" s="108">
        <f t="shared" si="145"/>
        <v>-8.078489470404502</v>
      </c>
      <c r="U205" s="108">
        <f t="shared" si="145"/>
        <v>-6.564259799679648</v>
      </c>
      <c r="V205" s="108">
        <f t="shared" si="145"/>
        <v>-2.752944893284575</v>
      </c>
      <c r="W205" s="108">
        <f t="shared" si="145"/>
        <v>1.8005353205259107</v>
      </c>
      <c r="X205" s="108">
        <f t="shared" si="145"/>
        <v>5.568307760536358</v>
      </c>
      <c r="Y205" s="108">
        <f t="shared" si="145"/>
        <v>7.838304341815059</v>
      </c>
      <c r="Z205" s="108">
        <f t="shared" si="145"/>
        <v>8.553382743807932</v>
      </c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  <c r="DP205" s="108"/>
      <c r="DQ205" s="108"/>
      <c r="DR205" s="108"/>
      <c r="DS205" s="108"/>
      <c r="DT205" s="108"/>
      <c r="DU205" s="108"/>
      <c r="DV205" s="108"/>
      <c r="DW205" s="108"/>
      <c r="DX205" s="108"/>
      <c r="DY205" s="108"/>
      <c r="DZ205" s="108"/>
      <c r="EA205" s="108"/>
      <c r="EB205" s="108"/>
      <c r="EC205" s="108"/>
      <c r="ED205" s="108"/>
      <c r="EE205" s="108"/>
      <c r="EF205" s="108"/>
      <c r="EG205" s="108"/>
      <c r="EH205" s="108"/>
      <c r="EI205" s="108"/>
      <c r="EJ205" s="108"/>
      <c r="EK205" s="108"/>
      <c r="EL205" s="108"/>
      <c r="EM205" s="108"/>
      <c r="EN205" s="108"/>
      <c r="EO205" s="108"/>
      <c r="EP205" s="108"/>
      <c r="EQ205" s="108"/>
      <c r="ER205" s="108"/>
      <c r="ES205" s="108"/>
      <c r="ET205" s="108"/>
      <c r="EU205" s="108"/>
      <c r="EV205" s="108"/>
      <c r="EW205" s="108"/>
      <c r="EX205" s="108"/>
      <c r="EY205" s="108"/>
      <c r="EZ205" s="108"/>
      <c r="FA205" s="108"/>
      <c r="FB205" s="108"/>
      <c r="FC205" s="108"/>
      <c r="FD205" s="108"/>
      <c r="FE205" s="108"/>
      <c r="FF205" s="108"/>
      <c r="FG205" s="108"/>
      <c r="FH205" s="108"/>
      <c r="FI205" s="108"/>
      <c r="FJ205" s="108"/>
      <c r="FK205" s="108"/>
      <c r="FL205" s="108"/>
      <c r="FM205" s="108"/>
      <c r="FN205" s="108"/>
      <c r="FO205" s="108"/>
      <c r="FP205" s="108"/>
      <c r="FQ205" s="108"/>
      <c r="FR205" s="108"/>
      <c r="FS205" s="108"/>
      <c r="FT205" s="108"/>
      <c r="FU205" s="108"/>
      <c r="FV205" s="108"/>
      <c r="FW205" s="108"/>
      <c r="FX205" s="108"/>
      <c r="FY205" s="108"/>
      <c r="FZ205" s="108"/>
    </row>
    <row r="206" spans="1:182" s="43" customFormat="1" ht="13.5" customHeight="1">
      <c r="A206" s="103" t="s">
        <v>171</v>
      </c>
      <c r="B206" s="108">
        <f aca="true" t="shared" si="146" ref="B206:Z206">IF($F$19=1,$B$18+$D$18*COS(B22),0)</f>
        <v>1.2</v>
      </c>
      <c r="C206" s="108">
        <f t="shared" si="146"/>
        <v>1.1931851652578136</v>
      </c>
      <c r="D206" s="108">
        <f t="shared" si="146"/>
        <v>1.1732050807568877</v>
      </c>
      <c r="E206" s="108">
        <f t="shared" si="146"/>
        <v>1.1414213562373094</v>
      </c>
      <c r="F206" s="108">
        <f t="shared" si="146"/>
        <v>1.1</v>
      </c>
      <c r="G206" s="108">
        <f t="shared" si="146"/>
        <v>1.0517638090205041</v>
      </c>
      <c r="H206" s="108">
        <f t="shared" si="146"/>
        <v>1</v>
      </c>
      <c r="I206" s="108">
        <f t="shared" si="146"/>
        <v>0.9482361909794959</v>
      </c>
      <c r="J206" s="108">
        <f t="shared" si="146"/>
        <v>0.9</v>
      </c>
      <c r="K206" s="108">
        <f t="shared" si="146"/>
        <v>0.8585786437626906</v>
      </c>
      <c r="L206" s="108">
        <f t="shared" si="146"/>
        <v>0.8267949192431122</v>
      </c>
      <c r="M206" s="108">
        <f t="shared" si="146"/>
        <v>0.8068148347421864</v>
      </c>
      <c r="N206" s="108">
        <f t="shared" si="146"/>
        <v>0.8</v>
      </c>
      <c r="O206" s="108">
        <f t="shared" si="146"/>
        <v>0.8068148347421863</v>
      </c>
      <c r="P206" s="108">
        <f t="shared" si="146"/>
        <v>0.8267949192431123</v>
      </c>
      <c r="Q206" s="108">
        <f t="shared" si="146"/>
        <v>0.8585786437626904</v>
      </c>
      <c r="R206" s="108">
        <f t="shared" si="146"/>
        <v>0.8999999999999999</v>
      </c>
      <c r="S206" s="108">
        <f t="shared" si="146"/>
        <v>0.9482361909794959</v>
      </c>
      <c r="T206" s="108">
        <f t="shared" si="146"/>
        <v>1</v>
      </c>
      <c r="U206" s="108">
        <f t="shared" si="146"/>
        <v>1.0517638090205041</v>
      </c>
      <c r="V206" s="108">
        <f t="shared" si="146"/>
        <v>1.1</v>
      </c>
      <c r="W206" s="108">
        <f t="shared" si="146"/>
        <v>1.1414213562373094</v>
      </c>
      <c r="X206" s="108">
        <f t="shared" si="146"/>
        <v>1.1732050807568877</v>
      </c>
      <c r="Y206" s="108">
        <f t="shared" si="146"/>
        <v>1.1931851652578136</v>
      </c>
      <c r="Z206" s="108">
        <f t="shared" si="146"/>
        <v>1.2</v>
      </c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8"/>
      <c r="DF206" s="108"/>
      <c r="DG206" s="108"/>
      <c r="DH206" s="108"/>
      <c r="DI206" s="108"/>
      <c r="DJ206" s="108"/>
      <c r="DK206" s="108"/>
      <c r="DL206" s="108"/>
      <c r="DM206" s="108"/>
      <c r="DN206" s="108"/>
      <c r="DO206" s="108"/>
      <c r="DP206" s="108"/>
      <c r="DQ206" s="108"/>
      <c r="DR206" s="108"/>
      <c r="DS206" s="108"/>
      <c r="DT206" s="108"/>
      <c r="DU206" s="108"/>
      <c r="DV206" s="108"/>
      <c r="DW206" s="108"/>
      <c r="DX206" s="108"/>
      <c r="DY206" s="108"/>
      <c r="DZ206" s="108"/>
      <c r="EA206" s="108"/>
      <c r="EB206" s="108"/>
      <c r="EC206" s="108"/>
      <c r="ED206" s="108"/>
      <c r="EE206" s="108"/>
      <c r="EF206" s="108"/>
      <c r="EG206" s="108"/>
      <c r="EH206" s="108"/>
      <c r="EI206" s="108"/>
      <c r="EJ206" s="108"/>
      <c r="EK206" s="108"/>
      <c r="EL206" s="108"/>
      <c r="EM206" s="108"/>
      <c r="EN206" s="108"/>
      <c r="EO206" s="108"/>
      <c r="EP206" s="108"/>
      <c r="EQ206" s="108"/>
      <c r="ER206" s="108"/>
      <c r="ES206" s="108"/>
      <c r="ET206" s="108"/>
      <c r="EU206" s="108"/>
      <c r="EV206" s="108"/>
      <c r="EW206" s="108"/>
      <c r="EX206" s="108"/>
      <c r="EY206" s="108"/>
      <c r="EZ206" s="108"/>
      <c r="FA206" s="108"/>
      <c r="FB206" s="108"/>
      <c r="FC206" s="108"/>
      <c r="FD206" s="108"/>
      <c r="FE206" s="108"/>
      <c r="FF206" s="108"/>
      <c r="FG206" s="108"/>
      <c r="FH206" s="108"/>
      <c r="FI206" s="108"/>
      <c r="FJ206" s="108"/>
      <c r="FK206" s="108"/>
      <c r="FL206" s="108"/>
      <c r="FM206" s="108"/>
      <c r="FN206" s="108"/>
      <c r="FO206" s="108"/>
      <c r="FP206" s="108"/>
      <c r="FQ206" s="108"/>
      <c r="FR206" s="108"/>
      <c r="FS206" s="108"/>
      <c r="FT206" s="108"/>
      <c r="FU206" s="108"/>
      <c r="FV206" s="108"/>
      <c r="FW206" s="108"/>
      <c r="FX206" s="108"/>
      <c r="FY206" s="108"/>
      <c r="FZ206" s="108"/>
    </row>
    <row r="207" spans="1:182" s="64" customFormat="1" ht="13.5" customHeight="1" thickBot="1">
      <c r="A207" s="104" t="s">
        <v>172</v>
      </c>
      <c r="B207" s="109">
        <f aca="true" t="shared" si="147" ref="B207:Z207">IF($F$19=1,$B$18+$D$18*SIN(B22),0)</f>
        <v>1</v>
      </c>
      <c r="C207" s="109">
        <f t="shared" si="147"/>
        <v>1.0517638090205041</v>
      </c>
      <c r="D207" s="109">
        <f t="shared" si="147"/>
        <v>1.1</v>
      </c>
      <c r="E207" s="109">
        <f t="shared" si="147"/>
        <v>1.1414213562373094</v>
      </c>
      <c r="F207" s="109">
        <f t="shared" si="147"/>
        <v>1.1732050807568877</v>
      </c>
      <c r="G207" s="109">
        <f t="shared" si="147"/>
        <v>1.1931851652578136</v>
      </c>
      <c r="H207" s="109">
        <f t="shared" si="147"/>
        <v>1.2</v>
      </c>
      <c r="I207" s="109">
        <f t="shared" si="147"/>
        <v>1.1931851652578136</v>
      </c>
      <c r="J207" s="109">
        <f t="shared" si="147"/>
        <v>1.1732050807568877</v>
      </c>
      <c r="K207" s="109">
        <f t="shared" si="147"/>
        <v>1.1414213562373094</v>
      </c>
      <c r="L207" s="109">
        <f t="shared" si="147"/>
        <v>1.1</v>
      </c>
      <c r="M207" s="109">
        <f t="shared" si="147"/>
        <v>1.0517638090205041</v>
      </c>
      <c r="N207" s="109">
        <f t="shared" si="147"/>
        <v>1</v>
      </c>
      <c r="O207" s="109">
        <f t="shared" si="147"/>
        <v>0.9482361909794959</v>
      </c>
      <c r="P207" s="109">
        <f t="shared" si="147"/>
        <v>0.8999999999999999</v>
      </c>
      <c r="Q207" s="109">
        <f t="shared" si="147"/>
        <v>0.8585786437626906</v>
      </c>
      <c r="R207" s="109">
        <f t="shared" si="147"/>
        <v>0.8267949192431123</v>
      </c>
      <c r="S207" s="109">
        <f t="shared" si="147"/>
        <v>0.8068148347421863</v>
      </c>
      <c r="T207" s="109">
        <f t="shared" si="147"/>
        <v>0.8</v>
      </c>
      <c r="U207" s="109">
        <f t="shared" si="147"/>
        <v>0.8068148347421863</v>
      </c>
      <c r="V207" s="109">
        <f t="shared" si="147"/>
        <v>0.8267949192431123</v>
      </c>
      <c r="W207" s="109">
        <f t="shared" si="147"/>
        <v>0.8585786437626904</v>
      </c>
      <c r="X207" s="109">
        <f t="shared" si="147"/>
        <v>0.8999999999999999</v>
      </c>
      <c r="Y207" s="109">
        <f t="shared" si="147"/>
        <v>0.9482361909794959</v>
      </c>
      <c r="Z207" s="109">
        <f t="shared" si="147"/>
        <v>1</v>
      </c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09"/>
      <c r="DO207" s="109"/>
      <c r="DP207" s="109"/>
      <c r="DQ207" s="109"/>
      <c r="DR207" s="109"/>
      <c r="DS207" s="109"/>
      <c r="DT207" s="109"/>
      <c r="DU207" s="109"/>
      <c r="DV207" s="109"/>
      <c r="DW207" s="109"/>
      <c r="DX207" s="109"/>
      <c r="DY207" s="109"/>
      <c r="DZ207" s="109"/>
      <c r="EA207" s="109"/>
      <c r="EB207" s="109"/>
      <c r="EC207" s="109"/>
      <c r="ED207" s="109"/>
      <c r="EE207" s="109"/>
      <c r="EF207" s="109"/>
      <c r="EG207" s="109"/>
      <c r="EH207" s="109"/>
      <c r="EI207" s="109"/>
      <c r="EJ207" s="109"/>
      <c r="EK207" s="109"/>
      <c r="EL207" s="109"/>
      <c r="EM207" s="109"/>
      <c r="EN207" s="109"/>
      <c r="EO207" s="109"/>
      <c r="EP207" s="109"/>
      <c r="EQ207" s="109"/>
      <c r="ER207" s="109"/>
      <c r="ES207" s="109"/>
      <c r="ET207" s="109"/>
      <c r="EU207" s="109"/>
      <c r="EV207" s="109"/>
      <c r="EW207" s="109"/>
      <c r="EX207" s="109"/>
      <c r="EY207" s="109"/>
      <c r="EZ207" s="109"/>
      <c r="FA207" s="109"/>
      <c r="FB207" s="109"/>
      <c r="FC207" s="109"/>
      <c r="FD207" s="109"/>
      <c r="FE207" s="109"/>
      <c r="FF207" s="109"/>
      <c r="FG207" s="109"/>
      <c r="FH207" s="109"/>
      <c r="FI207" s="109"/>
      <c r="FJ207" s="109"/>
      <c r="FK207" s="109"/>
      <c r="FL207" s="109"/>
      <c r="FM207" s="109"/>
      <c r="FN207" s="109"/>
      <c r="FO207" s="109"/>
      <c r="FP207" s="109"/>
      <c r="FQ207" s="109"/>
      <c r="FR207" s="109"/>
      <c r="FS207" s="109"/>
      <c r="FT207" s="109"/>
      <c r="FU207" s="109"/>
      <c r="FV207" s="109"/>
      <c r="FW207" s="109"/>
      <c r="FX207" s="109"/>
      <c r="FY207" s="109"/>
      <c r="FZ207" s="109"/>
    </row>
    <row r="208" spans="1:182" ht="13.5" customHeight="1">
      <c r="A208" s="116" t="s">
        <v>200</v>
      </c>
      <c r="B208" s="130">
        <f>B206*B114+B207*B117</f>
        <v>7.154111206698635</v>
      </c>
      <c r="C208" s="130">
        <f>C206*C114+C207*C117</f>
        <v>6.742572300435805</v>
      </c>
      <c r="D208" s="130">
        <f>D206*D114+D207*D117</f>
        <v>5.509312327185427</v>
      </c>
      <c r="E208" s="41">
        <f aca="true" t="shared" si="148" ref="E208:Z208">E206*E204+E207*E205</f>
        <v>3.79631294287585</v>
      </c>
      <c r="F208" s="41">
        <f t="shared" si="148"/>
        <v>1.971045401558135</v>
      </c>
      <c r="G208" s="41">
        <f t="shared" si="148"/>
        <v>0.37120663292584677</v>
      </c>
      <c r="H208" s="41">
        <f t="shared" si="148"/>
        <v>-0.7574361865477743</v>
      </c>
      <c r="I208" s="41">
        <f t="shared" si="148"/>
        <v>-1.3100626302953335</v>
      </c>
      <c r="J208" s="41">
        <f t="shared" si="148"/>
        <v>-1.335085150754681</v>
      </c>
      <c r="K208" s="41">
        <f t="shared" si="148"/>
        <v>-0.9996882312430007</v>
      </c>
      <c r="L208" s="41">
        <f t="shared" si="148"/>
        <v>-0.5255751289006827</v>
      </c>
      <c r="M208" s="41">
        <f t="shared" si="148"/>
        <v>-0.1307312007231029</v>
      </c>
      <c r="N208" s="41">
        <f t="shared" si="148"/>
        <v>-0.004732112104180912</v>
      </c>
      <c r="O208" s="41">
        <f t="shared" si="148"/>
        <v>-0.31751823338133256</v>
      </c>
      <c r="P208" s="41">
        <f t="shared" si="148"/>
        <v>-1.234157182771294</v>
      </c>
      <c r="Q208" s="41">
        <f t="shared" si="148"/>
        <v>-2.8815012711639607</v>
      </c>
      <c r="R208" s="41">
        <f t="shared" si="148"/>
        <v>-5.183622339699301</v>
      </c>
      <c r="S208" s="41">
        <f t="shared" si="148"/>
        <v>-7.534813993534005</v>
      </c>
      <c r="T208" s="41">
        <f t="shared" si="148"/>
        <v>-8.627416305981816</v>
      </c>
      <c r="U208" s="41">
        <f t="shared" si="148"/>
        <v>-7.146077046045582</v>
      </c>
      <c r="V208" s="41">
        <f t="shared" si="148"/>
        <v>-3.087535147783242</v>
      </c>
      <c r="W208" s="41">
        <f t="shared" si="148"/>
        <v>2.0965821726717904</v>
      </c>
      <c r="X208" s="41">
        <f t="shared" si="148"/>
        <v>6.761926614651294</v>
      </c>
      <c r="Y208" s="41">
        <f t="shared" si="148"/>
        <v>9.938571660233766</v>
      </c>
      <c r="Z208" s="41">
        <f t="shared" si="148"/>
        <v>11.303629142317094</v>
      </c>
      <c r="AA208" s="41"/>
      <c r="FZ208" s="41"/>
    </row>
    <row r="209" spans="1:182" ht="13.5" customHeight="1">
      <c r="A209" s="116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</row>
    <row r="210" spans="1:182" ht="13.5" customHeight="1">
      <c r="A210" s="106" t="s">
        <v>173</v>
      </c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</row>
    <row r="211" spans="9:182" ht="13.5" customHeight="1"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</row>
    <row r="212" spans="1:182" ht="13.5" customHeight="1" thickBot="1">
      <c r="A212" s="106" t="s">
        <v>188</v>
      </c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</row>
    <row r="213" spans="1:182" s="39" customFormat="1" ht="13.5" customHeight="1">
      <c r="A213" s="102" t="s">
        <v>240</v>
      </c>
      <c r="B213" s="75">
        <f aca="true" t="shared" si="149" ref="B213:Z213">B146*B94/B70</f>
        <v>-19.3949302160391</v>
      </c>
      <c r="C213" s="75">
        <f t="shared" si="149"/>
        <v>-15.680601460716842</v>
      </c>
      <c r="D213" s="75">
        <f t="shared" si="149"/>
        <v>-12.264355516344656</v>
      </c>
      <c r="E213" s="75">
        <f t="shared" si="149"/>
        <v>-8.87035026743766</v>
      </c>
      <c r="F213" s="75">
        <f t="shared" si="149"/>
        <v>-5.320418187780531</v>
      </c>
      <c r="G213" s="75">
        <f t="shared" si="149"/>
        <v>-1.6421696930966578</v>
      </c>
      <c r="H213" s="75">
        <f t="shared" si="149"/>
        <v>1.9668893774229885</v>
      </c>
      <c r="I213" s="75">
        <f t="shared" si="149"/>
        <v>5.2276786924293805</v>
      </c>
      <c r="J213" s="75">
        <f t="shared" si="149"/>
        <v>7.899229009874549</v>
      </c>
      <c r="K213" s="75">
        <f t="shared" si="149"/>
        <v>9.894590998897204</v>
      </c>
      <c r="L213" s="75">
        <f t="shared" si="149"/>
        <v>11.336112164404446</v>
      </c>
      <c r="M213" s="75">
        <f t="shared" si="149"/>
        <v>12.524098745911283</v>
      </c>
      <c r="N213" s="75">
        <f t="shared" si="149"/>
        <v>13.85523357670638</v>
      </c>
      <c r="O213" s="75">
        <f t="shared" si="149"/>
        <v>15.744786451187988</v>
      </c>
      <c r="P213" s="75">
        <f t="shared" si="149"/>
        <v>18.554465941662723</v>
      </c>
      <c r="Q213" s="75">
        <f t="shared" si="149"/>
        <v>22.43544735915536</v>
      </c>
      <c r="R213" s="75">
        <f t="shared" si="149"/>
        <v>26.88035225472936</v>
      </c>
      <c r="S213" s="75">
        <f t="shared" si="149"/>
        <v>29.738831323646156</v>
      </c>
      <c r="T213" s="75">
        <f t="shared" si="149"/>
        <v>26.128703551691324</v>
      </c>
      <c r="U213" s="75">
        <f t="shared" si="149"/>
        <v>10.182383909177279</v>
      </c>
      <c r="V213" s="75">
        <f t="shared" si="149"/>
        <v>-16.91171461437619</v>
      </c>
      <c r="W213" s="75">
        <f t="shared" si="149"/>
        <v>-42.16297718838564</v>
      </c>
      <c r="X213" s="75">
        <f t="shared" si="149"/>
        <v>-54.02895472724386</v>
      </c>
      <c r="Y213" s="75">
        <f t="shared" si="149"/>
        <v>-53.9860277253684</v>
      </c>
      <c r="Z213" s="75">
        <f t="shared" si="149"/>
        <v>-48.92355845076547</v>
      </c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  <c r="FS213" s="75"/>
      <c r="FT213" s="75"/>
      <c r="FU213" s="75"/>
      <c r="FV213" s="75"/>
      <c r="FW213" s="75"/>
      <c r="FX213" s="75"/>
      <c r="FY213" s="75"/>
      <c r="FZ213" s="75"/>
    </row>
    <row r="214" spans="1:182" s="43" customFormat="1" ht="13.5" customHeight="1">
      <c r="A214" s="103" t="s">
        <v>241</v>
      </c>
      <c r="B214" s="76">
        <f aca="true" t="shared" si="150" ref="B214:Z214">(B147+$D$8*$F$13)*B95/B71</f>
        <v>28.77979166245138</v>
      </c>
      <c r="C214" s="76">
        <f t="shared" si="150"/>
        <v>23.98383227845792</v>
      </c>
      <c r="D214" s="76">
        <f t="shared" si="150"/>
        <v>18.913235315222668</v>
      </c>
      <c r="E214" s="76">
        <f t="shared" si="150"/>
        <v>14.570819542556697</v>
      </c>
      <c r="F214" s="76">
        <f t="shared" si="150"/>
        <v>11.355935038718139</v>
      </c>
      <c r="G214" s="76">
        <f t="shared" si="150"/>
        <v>9.364711264031245</v>
      </c>
      <c r="H214" s="76">
        <f t="shared" si="150"/>
        <v>8.506190334873033</v>
      </c>
      <c r="I214" s="76">
        <f t="shared" si="150"/>
        <v>8.527291794075367</v>
      </c>
      <c r="J214" s="76">
        <f t="shared" si="150"/>
        <v>9.03003210002516</v>
      </c>
      <c r="K214" s="76">
        <f t="shared" si="150"/>
        <v>9.517212230847251</v>
      </c>
      <c r="L214" s="76">
        <f t="shared" si="150"/>
        <v>9.451231686038414</v>
      </c>
      <c r="M214" s="76">
        <f t="shared" si="150"/>
        <v>8.36492974228121</v>
      </c>
      <c r="N214" s="76">
        <f t="shared" si="150"/>
        <v>6.4686688244273585</v>
      </c>
      <c r="O214" s="76">
        <f t="shared" si="150"/>
        <v>5.798765993608504</v>
      </c>
      <c r="P214" s="76">
        <f t="shared" si="150"/>
        <v>7.3727053746740046</v>
      </c>
      <c r="Q214" s="76">
        <f t="shared" si="150"/>
        <v>8.433199074336692</v>
      </c>
      <c r="R214" s="76">
        <f t="shared" si="150"/>
        <v>6.9212445636061375</v>
      </c>
      <c r="S214" s="76">
        <f t="shared" si="150"/>
        <v>2.3059368677296628</v>
      </c>
      <c r="T214" s="76">
        <f t="shared" si="150"/>
        <v>-4.130546658875018</v>
      </c>
      <c r="U214" s="76">
        <f t="shared" si="150"/>
        <v>-6.9185687555724</v>
      </c>
      <c r="V214" s="76">
        <f t="shared" si="150"/>
        <v>2.2339321544108652</v>
      </c>
      <c r="W214" s="76">
        <f t="shared" si="150"/>
        <v>23.54074671276351</v>
      </c>
      <c r="X214" s="76">
        <f t="shared" si="150"/>
        <v>44.399256000165806</v>
      </c>
      <c r="Y214" s="76">
        <f t="shared" si="150"/>
        <v>53.63257938536416</v>
      </c>
      <c r="Z214" s="76">
        <f t="shared" si="150"/>
        <v>50.74969907336264</v>
      </c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</row>
    <row r="215" spans="1:182" s="43" customFormat="1" ht="13.5" customHeight="1">
      <c r="A215" s="103" t="s">
        <v>182</v>
      </c>
      <c r="B215" s="76">
        <f aca="true" t="shared" si="151" ref="B215:Z215">B148</f>
        <v>0.5342418428544438</v>
      </c>
      <c r="C215" s="76">
        <f t="shared" si="151"/>
        <v>0.40496687902500367</v>
      </c>
      <c r="D215" s="76">
        <f t="shared" si="151"/>
        <v>0.2809002733491142</v>
      </c>
      <c r="E215" s="76">
        <f t="shared" si="151"/>
        <v>0.17171012877694022</v>
      </c>
      <c r="F215" s="76">
        <f t="shared" si="151"/>
        <v>0.07706437428785776</v>
      </c>
      <c r="G215" s="76">
        <f t="shared" si="151"/>
        <v>-0.005557792483117976</v>
      </c>
      <c r="H215" s="76">
        <f t="shared" si="151"/>
        <v>-0.07756420997041856</v>
      </c>
      <c r="I215" s="76">
        <f t="shared" si="151"/>
        <v>-0.13859768080202067</v>
      </c>
      <c r="J215" s="76">
        <f t="shared" si="151"/>
        <v>-0.1875938487918569</v>
      </c>
      <c r="K215" s="76">
        <f t="shared" si="151"/>
        <v>-0.22469105297031197</v>
      </c>
      <c r="L215" s="76">
        <f t="shared" si="151"/>
        <v>-0.2527360255840938</v>
      </c>
      <c r="M215" s="76">
        <f t="shared" si="151"/>
        <v>-0.277453181903107</v>
      </c>
      <c r="N215" s="76">
        <f t="shared" si="151"/>
        <v>-0.30649672664739863</v>
      </c>
      <c r="O215" s="76">
        <f t="shared" si="151"/>
        <v>-0.3482562588018425</v>
      </c>
      <c r="P215" s="76">
        <f t="shared" si="151"/>
        <v>-0.4106040170431428</v>
      </c>
      <c r="Q215" s="76">
        <f t="shared" si="151"/>
        <v>-0.49808947167237905</v>
      </c>
      <c r="R215" s="76">
        <f t="shared" si="151"/>
        <v>-0.6037001578509228</v>
      </c>
      <c r="S215" s="76">
        <f t="shared" si="151"/>
        <v>-0.6895541029981543</v>
      </c>
      <c r="T215" s="76">
        <f t="shared" si="151"/>
        <v>-0.6600149119388532</v>
      </c>
      <c r="U215" s="76">
        <f t="shared" si="151"/>
        <v>-0.3746506685876499</v>
      </c>
      <c r="V215" s="76">
        <f t="shared" si="151"/>
        <v>0.21338360091496314</v>
      </c>
      <c r="W215" s="76">
        <f t="shared" si="151"/>
        <v>0.8955879912444309</v>
      </c>
      <c r="X215" s="76">
        <f t="shared" si="151"/>
        <v>1.3552340796073001</v>
      </c>
      <c r="Y215" s="76">
        <f t="shared" si="151"/>
        <v>1.475046180874506</v>
      </c>
      <c r="Z215" s="76">
        <f t="shared" si="151"/>
        <v>1.347678720397113</v>
      </c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</row>
    <row r="216" spans="1:182" s="43" customFormat="1" ht="13.5" customHeight="1">
      <c r="A216" s="103" t="s">
        <v>178</v>
      </c>
      <c r="B216" s="76">
        <f aca="true" t="shared" si="152" ref="B216:Z216">B213*B70+B214*B71</f>
        <v>38.634843868524996</v>
      </c>
      <c r="C216" s="76">
        <f t="shared" si="152"/>
        <v>98.0118931503348</v>
      </c>
      <c r="D216" s="76">
        <f t="shared" si="152"/>
        <v>112.77400126153944</v>
      </c>
      <c r="E216" s="76">
        <f t="shared" si="152"/>
        <v>99.37128541885107</v>
      </c>
      <c r="F216" s="76">
        <f t="shared" si="152"/>
        <v>71.19460403411523</v>
      </c>
      <c r="G216" s="76">
        <f t="shared" si="152"/>
        <v>37.65372397840288</v>
      </c>
      <c r="H216" s="76">
        <f t="shared" si="152"/>
        <v>5.657987862329687</v>
      </c>
      <c r="I216" s="76">
        <f t="shared" si="152"/>
        <v>-19.676686976913658</v>
      </c>
      <c r="J216" s="76">
        <f t="shared" si="152"/>
        <v>-35.35262604423502</v>
      </c>
      <c r="K216" s="76">
        <f t="shared" si="152"/>
        <v>-40.919955308778455</v>
      </c>
      <c r="L216" s="76">
        <f t="shared" si="152"/>
        <v>-38.00218242061689</v>
      </c>
      <c r="M216" s="76">
        <f t="shared" si="152"/>
        <v>-28.83675028937282</v>
      </c>
      <c r="N216" s="76">
        <f t="shared" si="152"/>
        <v>-14.621059836428415</v>
      </c>
      <c r="O216" s="76">
        <f t="shared" si="152"/>
        <v>5.722692200557115</v>
      </c>
      <c r="P216" s="76">
        <f t="shared" si="152"/>
        <v>36.41067703247162</v>
      </c>
      <c r="Q216" s="76">
        <f t="shared" si="152"/>
        <v>85.12098991734015</v>
      </c>
      <c r="R216" s="76">
        <f t="shared" si="152"/>
        <v>160.00457786420594</v>
      </c>
      <c r="S216" s="76">
        <f t="shared" si="152"/>
        <v>253.7880390313141</v>
      </c>
      <c r="T216" s="76">
        <f t="shared" si="152"/>
        <v>302.5789794849355</v>
      </c>
      <c r="U216" s="76">
        <f t="shared" si="152"/>
        <v>162.74348343144337</v>
      </c>
      <c r="V216" s="76">
        <f t="shared" si="152"/>
        <v>-224.51414336978178</v>
      </c>
      <c r="W216" s="76">
        <f t="shared" si="152"/>
        <v>-575.8832849613298</v>
      </c>
      <c r="X216" s="76">
        <f t="shared" si="152"/>
        <v>-551.3761441052789</v>
      </c>
      <c r="Y216" s="76">
        <f t="shared" si="152"/>
        <v>-222.8073091934587</v>
      </c>
      <c r="Z216" s="76">
        <f t="shared" si="152"/>
        <v>128.46801303838308</v>
      </c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</row>
    <row r="217" spans="1:182" s="43" customFormat="1" ht="13.5" customHeight="1">
      <c r="A217" s="103" t="s">
        <v>176</v>
      </c>
      <c r="B217" s="76">
        <f aca="true" t="shared" si="153" ref="B217:Z217">B215*B61</f>
        <v>0.02590682639479145</v>
      </c>
      <c r="C217" s="76">
        <f t="shared" si="153"/>
        <v>0.061123732937090385</v>
      </c>
      <c r="D217" s="76">
        <f t="shared" si="153"/>
        <v>0.06325695153512098</v>
      </c>
      <c r="E217" s="76">
        <f t="shared" si="153"/>
        <v>0.04700193025553459</v>
      </c>
      <c r="F217" s="76">
        <f t="shared" si="153"/>
        <v>0.023117898982170502</v>
      </c>
      <c r="G217" s="76">
        <f t="shared" si="153"/>
        <v>-0.0017067964738230012</v>
      </c>
      <c r="H217" s="76">
        <f t="shared" si="153"/>
        <v>-0.023101373987724973</v>
      </c>
      <c r="I217" s="76">
        <f t="shared" si="153"/>
        <v>-0.03809429651712436</v>
      </c>
      <c r="J217" s="76">
        <f t="shared" si="153"/>
        <v>-0.04520596542808606</v>
      </c>
      <c r="K217" s="76">
        <f t="shared" si="153"/>
        <v>-0.04473162076989069</v>
      </c>
      <c r="L217" s="76">
        <f t="shared" si="153"/>
        <v>-0.038328293000856904</v>
      </c>
      <c r="M217" s="76">
        <f t="shared" si="153"/>
        <v>-0.027809848703275495</v>
      </c>
      <c r="N217" s="76">
        <f t="shared" si="153"/>
        <v>-0.013788943179238696</v>
      </c>
      <c r="O217" s="76">
        <f t="shared" si="153"/>
        <v>0.005366346970490797</v>
      </c>
      <c r="P217" s="76">
        <f t="shared" si="153"/>
        <v>0.03436071435615302</v>
      </c>
      <c r="Q217" s="76">
        <f t="shared" si="153"/>
        <v>0.08144167366331864</v>
      </c>
      <c r="R217" s="76">
        <f t="shared" si="153"/>
        <v>0.15589928309054688</v>
      </c>
      <c r="S217" s="76">
        <f t="shared" si="153"/>
        <v>0.25345126300206966</v>
      </c>
      <c r="T217" s="76">
        <f t="shared" si="153"/>
        <v>0.3171623242578601</v>
      </c>
      <c r="U217" s="76">
        <f t="shared" si="153"/>
        <v>0.21258746549182989</v>
      </c>
      <c r="V217" s="76">
        <f t="shared" si="153"/>
        <v>-0.12452086906703747</v>
      </c>
      <c r="W217" s="76">
        <f t="shared" si="153"/>
        <v>-0.44704604640831214</v>
      </c>
      <c r="X217" s="76">
        <f t="shared" si="153"/>
        <v>-0.4467056660689787</v>
      </c>
      <c r="Y217" s="76">
        <f t="shared" si="153"/>
        <v>-0.18122636938591913</v>
      </c>
      <c r="Z217" s="76">
        <f t="shared" si="153"/>
        <v>0.1032582831190846</v>
      </c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</row>
    <row r="218" spans="1:182" s="43" customFormat="1" ht="13.5" customHeight="1">
      <c r="A218" s="103" t="s">
        <v>177</v>
      </c>
      <c r="B218" s="76">
        <f aca="true" t="shared" si="154" ref="B218:Z218">B213*B70+B214*B71+B215*B61</f>
        <v>38.660750694919784</v>
      </c>
      <c r="C218" s="76">
        <f t="shared" si="154"/>
        <v>98.07301688327189</v>
      </c>
      <c r="D218" s="76">
        <f t="shared" si="154"/>
        <v>112.83725821307456</v>
      </c>
      <c r="E218" s="76">
        <f t="shared" si="154"/>
        <v>99.4182873491066</v>
      </c>
      <c r="F218" s="76">
        <f t="shared" si="154"/>
        <v>71.2177219330974</v>
      </c>
      <c r="G218" s="76">
        <f t="shared" si="154"/>
        <v>37.652017181929054</v>
      </c>
      <c r="H218" s="76">
        <f t="shared" si="154"/>
        <v>5.634886488341962</v>
      </c>
      <c r="I218" s="76">
        <f t="shared" si="154"/>
        <v>-19.71478127343078</v>
      </c>
      <c r="J218" s="76">
        <f t="shared" si="154"/>
        <v>-35.39783200966311</v>
      </c>
      <c r="K218" s="76">
        <f t="shared" si="154"/>
        <v>-40.96468692954834</v>
      </c>
      <c r="L218" s="76">
        <f t="shared" si="154"/>
        <v>-38.04051071361775</v>
      </c>
      <c r="M218" s="76">
        <f t="shared" si="154"/>
        <v>-28.864560138076094</v>
      </c>
      <c r="N218" s="76">
        <f t="shared" si="154"/>
        <v>-14.634848779607655</v>
      </c>
      <c r="O218" s="76">
        <f t="shared" si="154"/>
        <v>5.728058547527606</v>
      </c>
      <c r="P218" s="76">
        <f t="shared" si="154"/>
        <v>36.44503774682777</v>
      </c>
      <c r="Q218" s="76">
        <f t="shared" si="154"/>
        <v>85.20243159100347</v>
      </c>
      <c r="R218" s="76">
        <f t="shared" si="154"/>
        <v>160.1604771472965</v>
      </c>
      <c r="S218" s="76">
        <f t="shared" si="154"/>
        <v>254.04149029431616</v>
      </c>
      <c r="T218" s="76">
        <f t="shared" si="154"/>
        <v>302.89614180919335</v>
      </c>
      <c r="U218" s="76">
        <f t="shared" si="154"/>
        <v>162.9560708969352</v>
      </c>
      <c r="V218" s="76">
        <f t="shared" si="154"/>
        <v>-224.6386642388488</v>
      </c>
      <c r="W218" s="76">
        <f t="shared" si="154"/>
        <v>-576.3303310077381</v>
      </c>
      <c r="X218" s="76">
        <f t="shared" si="154"/>
        <v>-551.8228497713478</v>
      </c>
      <c r="Y218" s="76">
        <f t="shared" si="154"/>
        <v>-222.98853556284462</v>
      </c>
      <c r="Z218" s="76">
        <f t="shared" si="154"/>
        <v>128.57127132150217</v>
      </c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</row>
    <row r="219" spans="1:182" s="43" customFormat="1" ht="13.5" customHeight="1">
      <c r="A219" s="103" t="s">
        <v>214</v>
      </c>
      <c r="B219" s="76">
        <f aca="true" t="shared" si="155" ref="B219:Z219">B151</f>
        <v>38.660750694919784</v>
      </c>
      <c r="C219" s="76">
        <f t="shared" si="155"/>
        <v>98.07301688327189</v>
      </c>
      <c r="D219" s="76">
        <f t="shared" si="155"/>
        <v>112.83725821307456</v>
      </c>
      <c r="E219" s="76">
        <f t="shared" si="155"/>
        <v>99.4182873491066</v>
      </c>
      <c r="F219" s="76">
        <f t="shared" si="155"/>
        <v>71.2177219330974</v>
      </c>
      <c r="G219" s="76">
        <f t="shared" si="155"/>
        <v>37.65201718192905</v>
      </c>
      <c r="H219" s="76">
        <f t="shared" si="155"/>
        <v>5.634886488341962</v>
      </c>
      <c r="I219" s="76">
        <f t="shared" si="155"/>
        <v>-19.71478127343078</v>
      </c>
      <c r="J219" s="76">
        <f t="shared" si="155"/>
        <v>-35.39783200966311</v>
      </c>
      <c r="K219" s="76">
        <f t="shared" si="155"/>
        <v>-40.96468692954834</v>
      </c>
      <c r="L219" s="76">
        <f t="shared" si="155"/>
        <v>-38.04051071361775</v>
      </c>
      <c r="M219" s="76">
        <f t="shared" si="155"/>
        <v>-28.864560138076097</v>
      </c>
      <c r="N219" s="76">
        <f t="shared" si="155"/>
        <v>-14.634848779607655</v>
      </c>
      <c r="O219" s="76">
        <f t="shared" si="155"/>
        <v>5.728058547527606</v>
      </c>
      <c r="P219" s="76">
        <f t="shared" si="155"/>
        <v>36.44503774682777</v>
      </c>
      <c r="Q219" s="76">
        <f t="shared" si="155"/>
        <v>85.20243159100347</v>
      </c>
      <c r="R219" s="76">
        <f t="shared" si="155"/>
        <v>160.1604771472965</v>
      </c>
      <c r="S219" s="76">
        <f t="shared" si="155"/>
        <v>254.04149029431616</v>
      </c>
      <c r="T219" s="76">
        <f t="shared" si="155"/>
        <v>302.89614180919335</v>
      </c>
      <c r="U219" s="76">
        <f t="shared" si="155"/>
        <v>162.9560708969352</v>
      </c>
      <c r="V219" s="76">
        <f t="shared" si="155"/>
        <v>-224.6386642388488</v>
      </c>
      <c r="W219" s="76">
        <f t="shared" si="155"/>
        <v>-576.3303310077381</v>
      </c>
      <c r="X219" s="76">
        <f t="shared" si="155"/>
        <v>-551.8228497713478</v>
      </c>
      <c r="Y219" s="76">
        <f t="shared" si="155"/>
        <v>-222.98853556284462</v>
      </c>
      <c r="Z219" s="76">
        <f t="shared" si="155"/>
        <v>128.57127132150217</v>
      </c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</row>
    <row r="220" spans="1:182" s="64" customFormat="1" ht="13.5" customHeight="1" thickBot="1">
      <c r="A220" s="104" t="s">
        <v>186</v>
      </c>
      <c r="B220" s="77">
        <f aca="true" t="shared" si="156" ref="B220:Z220">B218-B219</f>
        <v>0</v>
      </c>
      <c r="C220" s="77">
        <f t="shared" si="156"/>
        <v>0</v>
      </c>
      <c r="D220" s="77">
        <f t="shared" si="156"/>
        <v>0</v>
      </c>
      <c r="E220" s="77">
        <f t="shared" si="156"/>
        <v>0</v>
      </c>
      <c r="F220" s="77">
        <f t="shared" si="156"/>
        <v>0</v>
      </c>
      <c r="G220" s="77">
        <f t="shared" si="156"/>
        <v>0</v>
      </c>
      <c r="H220" s="77">
        <f t="shared" si="156"/>
        <v>0</v>
      </c>
      <c r="I220" s="77">
        <f t="shared" si="156"/>
        <v>0</v>
      </c>
      <c r="J220" s="77">
        <f t="shared" si="156"/>
        <v>0</v>
      </c>
      <c r="K220" s="77">
        <f t="shared" si="156"/>
        <v>0</v>
      </c>
      <c r="L220" s="77">
        <f t="shared" si="156"/>
        <v>0</v>
      </c>
      <c r="M220" s="77">
        <f t="shared" si="156"/>
        <v>0</v>
      </c>
      <c r="N220" s="77">
        <f t="shared" si="156"/>
        <v>0</v>
      </c>
      <c r="O220" s="77">
        <f t="shared" si="156"/>
        <v>0</v>
      </c>
      <c r="P220" s="77">
        <f t="shared" si="156"/>
        <v>0</v>
      </c>
      <c r="Q220" s="77">
        <f t="shared" si="156"/>
        <v>0</v>
      </c>
      <c r="R220" s="77">
        <f t="shared" si="156"/>
        <v>0</v>
      </c>
      <c r="S220" s="77">
        <f t="shared" si="156"/>
        <v>0</v>
      </c>
      <c r="T220" s="77">
        <f t="shared" si="156"/>
        <v>0</v>
      </c>
      <c r="U220" s="77">
        <f t="shared" si="156"/>
        <v>0</v>
      </c>
      <c r="V220" s="77">
        <f t="shared" si="156"/>
        <v>0</v>
      </c>
      <c r="W220" s="77">
        <f t="shared" si="156"/>
        <v>0</v>
      </c>
      <c r="X220" s="77">
        <f t="shared" si="156"/>
        <v>0</v>
      </c>
      <c r="Y220" s="77">
        <f t="shared" si="156"/>
        <v>0</v>
      </c>
      <c r="Z220" s="77">
        <f t="shared" si="156"/>
        <v>0</v>
      </c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7"/>
      <c r="ED220" s="77"/>
      <c r="EE220" s="77"/>
      <c r="EF220" s="77"/>
      <c r="EG220" s="77"/>
      <c r="EH220" s="77"/>
      <c r="EI220" s="77"/>
      <c r="EJ220" s="77"/>
      <c r="EK220" s="77"/>
      <c r="EL220" s="77"/>
      <c r="EM220" s="77"/>
      <c r="EN220" s="77"/>
      <c r="EO220" s="77"/>
      <c r="EP220" s="77"/>
      <c r="EQ220" s="77"/>
      <c r="ER220" s="77"/>
      <c r="ES220" s="77"/>
      <c r="ET220" s="77"/>
      <c r="EU220" s="77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</row>
    <row r="221" spans="9:182" ht="13.5" customHeight="1" thickBot="1"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</row>
    <row r="222" s="39" customFormat="1" ht="13.5" customHeight="1">
      <c r="A222" s="110" t="s">
        <v>179</v>
      </c>
    </row>
    <row r="223" spans="1:26" s="43" customFormat="1" ht="13.5" customHeight="1">
      <c r="A223" s="103" t="s">
        <v>180</v>
      </c>
      <c r="B223" s="43">
        <f aca="true" t="shared" si="157" ref="B223:Z223">-B215/$B$8*SIN(B58)</f>
        <v>-0.017208172258031</v>
      </c>
      <c r="C223" s="43">
        <f t="shared" si="157"/>
        <v>-0.01332737892278922</v>
      </c>
      <c r="D223" s="43">
        <f t="shared" si="157"/>
        <v>-0.009592443689365482</v>
      </c>
      <c r="E223" s="43">
        <f t="shared" si="157"/>
        <v>-0.0061214979125951115</v>
      </c>
      <c r="F223" s="43">
        <f t="shared" si="157"/>
        <v>-0.002864871218238396</v>
      </c>
      <c r="G223" s="43">
        <f t="shared" si="157"/>
        <v>0.00021425323249767326</v>
      </c>
      <c r="H223" s="43">
        <f t="shared" si="157"/>
        <v>0.003077244313880516</v>
      </c>
      <c r="I223" s="43">
        <f t="shared" si="157"/>
        <v>0.00561459373344958</v>
      </c>
      <c r="J223" s="43">
        <f t="shared" si="157"/>
        <v>0.007705706070189481</v>
      </c>
      <c r="K223" s="43">
        <f t="shared" si="157"/>
        <v>0.009307354860796034</v>
      </c>
      <c r="L223" s="43">
        <f t="shared" si="157"/>
        <v>0.010516709761804858</v>
      </c>
      <c r="M223" s="43">
        <f t="shared" si="157"/>
        <v>0.01156998536455311</v>
      </c>
      <c r="N223" s="43">
        <f t="shared" si="157"/>
        <v>0.012791708661482682</v>
      </c>
      <c r="O223" s="43">
        <f t="shared" si="157"/>
        <v>0.014536534929675505</v>
      </c>
      <c r="P223" s="43">
        <f t="shared" si="157"/>
        <v>0.01713115253223661</v>
      </c>
      <c r="Q223" s="43">
        <f t="shared" si="157"/>
        <v>0.020748056204298374</v>
      </c>
      <c r="R223" s="43">
        <f t="shared" si="157"/>
        <v>0.025042639515642746</v>
      </c>
      <c r="S223" s="43">
        <f t="shared" si="157"/>
        <v>0.028335471342948008</v>
      </c>
      <c r="T223" s="43">
        <f t="shared" si="157"/>
        <v>0.026615869426401702</v>
      </c>
      <c r="U223" s="43">
        <f t="shared" si="157"/>
        <v>0.014620345819488548</v>
      </c>
      <c r="V223" s="43">
        <f t="shared" si="157"/>
        <v>-0.00793339284579831</v>
      </c>
      <c r="W223" s="43">
        <f t="shared" si="157"/>
        <v>-0.0314323646724134</v>
      </c>
      <c r="X223" s="43">
        <f t="shared" si="157"/>
        <v>-0.045156219983926105</v>
      </c>
      <c r="Y223" s="43">
        <f t="shared" si="157"/>
        <v>-0.04765394171584471</v>
      </c>
      <c r="Z223" s="43">
        <f t="shared" si="157"/>
        <v>-0.043409343313819806</v>
      </c>
    </row>
    <row r="224" spans="1:26" s="43" customFormat="1" ht="13.5" customHeight="1">
      <c r="A224" s="103" t="s">
        <v>181</v>
      </c>
      <c r="B224" s="43">
        <f aca="true" t="shared" si="158" ref="B224:Z224">B215/$B$8*COS(B58)</f>
        <v>0.014208332169168624</v>
      </c>
      <c r="C224" s="43">
        <f t="shared" si="158"/>
        <v>0.010417723991707546</v>
      </c>
      <c r="D224" s="43">
        <f t="shared" si="158"/>
        <v>0.006757242341907828</v>
      </c>
      <c r="E224" s="43">
        <f t="shared" si="158"/>
        <v>0.00373795484759729</v>
      </c>
      <c r="F224" s="43">
        <f t="shared" si="158"/>
        <v>0.0014679513386664244</v>
      </c>
      <c r="G224" s="43">
        <f t="shared" si="158"/>
        <v>-8.939536326011221E-05</v>
      </c>
      <c r="H224" s="43">
        <f t="shared" si="158"/>
        <v>-0.0010138003686391318</v>
      </c>
      <c r="I224" s="43">
        <f t="shared" si="158"/>
        <v>-0.0014118148045211027</v>
      </c>
      <c r="J224" s="43">
        <f t="shared" si="158"/>
        <v>-0.0014230234415905925</v>
      </c>
      <c r="K224" s="43">
        <f t="shared" si="158"/>
        <v>-0.001209325178880047</v>
      </c>
      <c r="L224" s="43">
        <f t="shared" si="158"/>
        <v>-0.0009221386715461931</v>
      </c>
      <c r="M224" s="43">
        <f t="shared" si="158"/>
        <v>-0.0006726687698103633</v>
      </c>
      <c r="N224" s="43">
        <f t="shared" si="158"/>
        <v>-0.0005304824445436743</v>
      </c>
      <c r="O224" s="43">
        <f t="shared" si="158"/>
        <v>-0.0005528763835850524</v>
      </c>
      <c r="P224" s="43">
        <f t="shared" si="158"/>
        <v>-0.0008327184035508623</v>
      </c>
      <c r="Q224" s="43">
        <f t="shared" si="158"/>
        <v>-0.0015482500293824092</v>
      </c>
      <c r="R224" s="43">
        <f t="shared" si="158"/>
        <v>-0.002962128158740805</v>
      </c>
      <c r="S224" s="43">
        <f t="shared" si="158"/>
        <v>-0.00517093962282035</v>
      </c>
      <c r="T224" s="43">
        <f t="shared" si="158"/>
        <v>-0.007188554574325783</v>
      </c>
      <c r="U224" s="43">
        <f t="shared" si="158"/>
        <v>-0.005581619894982503</v>
      </c>
      <c r="V224" s="43">
        <f t="shared" si="158"/>
        <v>0.00406295438420425</v>
      </c>
      <c r="W224" s="43">
        <f t="shared" si="158"/>
        <v>0.0202852507136096</v>
      </c>
      <c r="X224" s="43">
        <f t="shared" si="158"/>
        <v>0.03414035468129186</v>
      </c>
      <c r="Y224" s="43">
        <f t="shared" si="158"/>
        <v>0.039056663631915636</v>
      </c>
      <c r="Z224" s="43">
        <f t="shared" si="158"/>
        <v>0.03584194531527799</v>
      </c>
    </row>
    <row r="225" spans="1:26" s="43" customFormat="1" ht="13.5" customHeight="1">
      <c r="A225" s="103" t="s">
        <v>183</v>
      </c>
      <c r="B225" s="43">
        <f aca="true" t="shared" si="159" ref="B225:Z225">B223*B70+B224*B71-B215*B61</f>
        <v>0</v>
      </c>
      <c r="C225" s="43">
        <f t="shared" si="159"/>
        <v>0</v>
      </c>
      <c r="D225" s="43">
        <f t="shared" si="159"/>
        <v>0</v>
      </c>
      <c r="E225" s="43">
        <f t="shared" si="159"/>
        <v>0</v>
      </c>
      <c r="F225" s="43">
        <f t="shared" si="159"/>
        <v>0</v>
      </c>
      <c r="G225" s="43">
        <f t="shared" si="159"/>
        <v>0</v>
      </c>
      <c r="H225" s="43">
        <f t="shared" si="159"/>
        <v>0</v>
      </c>
      <c r="I225" s="43">
        <f t="shared" si="159"/>
        <v>0</v>
      </c>
      <c r="J225" s="43">
        <f t="shared" si="159"/>
        <v>0</v>
      </c>
      <c r="K225" s="43">
        <f t="shared" si="159"/>
        <v>0</v>
      </c>
      <c r="L225" s="43">
        <f t="shared" si="159"/>
        <v>0</v>
      </c>
      <c r="M225" s="43">
        <f t="shared" si="159"/>
        <v>0</v>
      </c>
      <c r="N225" s="43">
        <f t="shared" si="159"/>
        <v>0</v>
      </c>
      <c r="O225" s="43">
        <f t="shared" si="159"/>
        <v>-2.2551405187698492E-17</v>
      </c>
      <c r="P225" s="43">
        <f t="shared" si="159"/>
        <v>0</v>
      </c>
      <c r="Q225" s="43">
        <f t="shared" si="159"/>
        <v>0</v>
      </c>
      <c r="R225" s="43">
        <f t="shared" si="159"/>
        <v>0</v>
      </c>
      <c r="S225" s="43">
        <f t="shared" si="159"/>
        <v>0</v>
      </c>
      <c r="T225" s="43">
        <f t="shared" si="159"/>
        <v>0</v>
      </c>
      <c r="U225" s="43">
        <f t="shared" si="159"/>
        <v>0</v>
      </c>
      <c r="V225" s="43">
        <f t="shared" si="159"/>
        <v>0</v>
      </c>
      <c r="W225" s="43">
        <f t="shared" si="159"/>
        <v>0</v>
      </c>
      <c r="X225" s="43">
        <f t="shared" si="159"/>
        <v>0</v>
      </c>
      <c r="Y225" s="43">
        <f t="shared" si="159"/>
        <v>0</v>
      </c>
      <c r="Z225" s="43">
        <f t="shared" si="159"/>
        <v>0</v>
      </c>
    </row>
    <row r="226" spans="1:26" s="43" customFormat="1" ht="13.5" customHeight="1">
      <c r="A226" s="26" t="s">
        <v>184</v>
      </c>
      <c r="B226" s="43">
        <f aca="true" t="shared" si="160" ref="B226:Z226">B213+B223</f>
        <v>-19.41213838829713</v>
      </c>
      <c r="C226" s="43">
        <f t="shared" si="160"/>
        <v>-15.69392883963963</v>
      </c>
      <c r="D226" s="43">
        <f t="shared" si="160"/>
        <v>-12.273947960034022</v>
      </c>
      <c r="E226" s="43">
        <f t="shared" si="160"/>
        <v>-8.876471765350255</v>
      </c>
      <c r="F226" s="43">
        <f t="shared" si="160"/>
        <v>-5.323283058998769</v>
      </c>
      <c r="G226" s="43">
        <f t="shared" si="160"/>
        <v>-1.6419554398641603</v>
      </c>
      <c r="H226" s="43">
        <f t="shared" si="160"/>
        <v>1.969966621736869</v>
      </c>
      <c r="I226" s="43">
        <f t="shared" si="160"/>
        <v>5.23329328616283</v>
      </c>
      <c r="J226" s="43">
        <f t="shared" si="160"/>
        <v>7.906934715944739</v>
      </c>
      <c r="K226" s="43">
        <f t="shared" si="160"/>
        <v>9.903898353758</v>
      </c>
      <c r="L226" s="43">
        <f t="shared" si="160"/>
        <v>11.346628874166251</v>
      </c>
      <c r="M226" s="43">
        <f t="shared" si="160"/>
        <v>12.535668731275836</v>
      </c>
      <c r="N226" s="43">
        <f t="shared" si="160"/>
        <v>13.868025285367864</v>
      </c>
      <c r="O226" s="43">
        <f t="shared" si="160"/>
        <v>15.759322986117663</v>
      </c>
      <c r="P226" s="43">
        <f t="shared" si="160"/>
        <v>18.57159709419496</v>
      </c>
      <c r="Q226" s="43">
        <f t="shared" si="160"/>
        <v>22.45619541535966</v>
      </c>
      <c r="R226" s="43">
        <f t="shared" si="160"/>
        <v>26.905394894245003</v>
      </c>
      <c r="S226" s="43">
        <f t="shared" si="160"/>
        <v>29.767166794989105</v>
      </c>
      <c r="T226" s="43">
        <f t="shared" si="160"/>
        <v>26.155319421117724</v>
      </c>
      <c r="U226" s="43">
        <f t="shared" si="160"/>
        <v>10.197004254996768</v>
      </c>
      <c r="V226" s="43">
        <f t="shared" si="160"/>
        <v>-16.91964800722199</v>
      </c>
      <c r="W226" s="43">
        <f t="shared" si="160"/>
        <v>-42.19440955305805</v>
      </c>
      <c r="X226" s="43">
        <f t="shared" si="160"/>
        <v>-54.07411094722778</v>
      </c>
      <c r="Y226" s="43">
        <f t="shared" si="160"/>
        <v>-54.033681667084245</v>
      </c>
      <c r="Z226" s="43">
        <f t="shared" si="160"/>
        <v>-48.96696779407929</v>
      </c>
    </row>
    <row r="227" spans="1:26" s="43" customFormat="1" ht="13.5" customHeight="1">
      <c r="A227" s="26" t="s">
        <v>185</v>
      </c>
      <c r="B227" s="43">
        <f aca="true" t="shared" si="161" ref="B227:Z227">B214+B224</f>
        <v>28.79399999462055</v>
      </c>
      <c r="C227" s="43">
        <f t="shared" si="161"/>
        <v>23.99425000244963</v>
      </c>
      <c r="D227" s="43">
        <f t="shared" si="161"/>
        <v>18.919992557564576</v>
      </c>
      <c r="E227" s="43">
        <f t="shared" si="161"/>
        <v>14.574557497404294</v>
      </c>
      <c r="F227" s="43">
        <f t="shared" si="161"/>
        <v>11.357402990056805</v>
      </c>
      <c r="G227" s="43">
        <f t="shared" si="161"/>
        <v>9.364621868667985</v>
      </c>
      <c r="H227" s="43">
        <f t="shared" si="161"/>
        <v>8.505176534504393</v>
      </c>
      <c r="I227" s="43">
        <f t="shared" si="161"/>
        <v>8.525879979270846</v>
      </c>
      <c r="J227" s="43">
        <f t="shared" si="161"/>
        <v>9.02860907658357</v>
      </c>
      <c r="K227" s="43">
        <f t="shared" si="161"/>
        <v>9.51600290566837</v>
      </c>
      <c r="L227" s="43">
        <f t="shared" si="161"/>
        <v>9.450309547366867</v>
      </c>
      <c r="M227" s="43">
        <f t="shared" si="161"/>
        <v>8.3642570735114</v>
      </c>
      <c r="N227" s="43">
        <f t="shared" si="161"/>
        <v>6.468138341982815</v>
      </c>
      <c r="O227" s="43">
        <f t="shared" si="161"/>
        <v>5.798213117224919</v>
      </c>
      <c r="P227" s="43">
        <f t="shared" si="161"/>
        <v>7.371872656270454</v>
      </c>
      <c r="Q227" s="43">
        <f t="shared" si="161"/>
        <v>8.43165082430731</v>
      </c>
      <c r="R227" s="43">
        <f t="shared" si="161"/>
        <v>6.918282435447397</v>
      </c>
      <c r="S227" s="43">
        <f t="shared" si="161"/>
        <v>2.300765928106842</v>
      </c>
      <c r="T227" s="43">
        <f t="shared" si="161"/>
        <v>-4.137735213449345</v>
      </c>
      <c r="U227" s="43">
        <f t="shared" si="161"/>
        <v>-6.9241503754673825</v>
      </c>
      <c r="V227" s="43">
        <f t="shared" si="161"/>
        <v>2.2379951087950696</v>
      </c>
      <c r="W227" s="43">
        <f t="shared" si="161"/>
        <v>23.56103196347712</v>
      </c>
      <c r="X227" s="43">
        <f t="shared" si="161"/>
        <v>44.4333963548471</v>
      </c>
      <c r="Y227" s="43">
        <f t="shared" si="161"/>
        <v>53.67163604899608</v>
      </c>
      <c r="Z227" s="43">
        <f t="shared" si="161"/>
        <v>50.78554101867792</v>
      </c>
    </row>
    <row r="228" spans="1:26" s="64" customFormat="1" ht="13.5" customHeight="1" thickBot="1">
      <c r="A228" s="111" t="s">
        <v>187</v>
      </c>
      <c r="B228" s="64">
        <f aca="true" t="shared" si="162" ref="B228:Z228">B226*B70+B227*B71</f>
        <v>38.660750694919784</v>
      </c>
      <c r="C228" s="64">
        <f t="shared" si="162"/>
        <v>98.07301688327189</v>
      </c>
      <c r="D228" s="64">
        <f t="shared" si="162"/>
        <v>112.83725821307456</v>
      </c>
      <c r="E228" s="64">
        <f t="shared" si="162"/>
        <v>99.4182873491066</v>
      </c>
      <c r="F228" s="64">
        <f t="shared" si="162"/>
        <v>71.21772193309741</v>
      </c>
      <c r="G228" s="64">
        <f t="shared" si="162"/>
        <v>37.652017181929054</v>
      </c>
      <c r="H228" s="64">
        <f t="shared" si="162"/>
        <v>5.634886488341964</v>
      </c>
      <c r="I228" s="64">
        <f t="shared" si="162"/>
        <v>-19.71478127343078</v>
      </c>
      <c r="J228" s="64">
        <f t="shared" si="162"/>
        <v>-35.39783200966311</v>
      </c>
      <c r="K228" s="64">
        <f t="shared" si="162"/>
        <v>-40.96468692954834</v>
      </c>
      <c r="L228" s="64">
        <f t="shared" si="162"/>
        <v>-38.04051071361775</v>
      </c>
      <c r="M228" s="64">
        <f t="shared" si="162"/>
        <v>-28.864560138076097</v>
      </c>
      <c r="N228" s="64">
        <f t="shared" si="162"/>
        <v>-14.634848779607655</v>
      </c>
      <c r="O228" s="64">
        <f t="shared" si="162"/>
        <v>5.728058547527606</v>
      </c>
      <c r="P228" s="64">
        <f t="shared" si="162"/>
        <v>36.44503774682778</v>
      </c>
      <c r="Q228" s="64">
        <f t="shared" si="162"/>
        <v>85.20243159100347</v>
      </c>
      <c r="R228" s="64">
        <f t="shared" si="162"/>
        <v>160.16047714729652</v>
      </c>
      <c r="S228" s="64">
        <f t="shared" si="162"/>
        <v>254.0414902943162</v>
      </c>
      <c r="T228" s="64">
        <f t="shared" si="162"/>
        <v>302.89614180919335</v>
      </c>
      <c r="U228" s="64">
        <f t="shared" si="162"/>
        <v>162.95607089693522</v>
      </c>
      <c r="V228" s="64">
        <f t="shared" si="162"/>
        <v>-224.63866423884883</v>
      </c>
      <c r="W228" s="64">
        <f t="shared" si="162"/>
        <v>-576.3303310077381</v>
      </c>
      <c r="X228" s="64">
        <f t="shared" si="162"/>
        <v>-551.8228497713478</v>
      </c>
      <c r="Y228" s="64">
        <f t="shared" si="162"/>
        <v>-222.98853556284462</v>
      </c>
      <c r="Z228" s="64">
        <f t="shared" si="162"/>
        <v>128.57127132150217</v>
      </c>
    </row>
    <row r="229" spans="1:182" ht="13.5" customHeight="1" thickBot="1">
      <c r="A229" s="104" t="s">
        <v>186</v>
      </c>
      <c r="B229" s="41">
        <f aca="true" t="shared" si="163" ref="B229:Z229">B228-B219</f>
        <v>0</v>
      </c>
      <c r="C229" s="41">
        <f t="shared" si="163"/>
        <v>0</v>
      </c>
      <c r="D229" s="41">
        <f t="shared" si="163"/>
        <v>0</v>
      </c>
      <c r="E229" s="41">
        <f t="shared" si="163"/>
        <v>0</v>
      </c>
      <c r="F229" s="41">
        <f t="shared" si="163"/>
        <v>0</v>
      </c>
      <c r="G229" s="41">
        <f t="shared" si="163"/>
        <v>0</v>
      </c>
      <c r="H229" s="41">
        <f t="shared" si="163"/>
        <v>0</v>
      </c>
      <c r="I229" s="41">
        <f t="shared" si="163"/>
        <v>0</v>
      </c>
      <c r="J229" s="41">
        <f t="shared" si="163"/>
        <v>0</v>
      </c>
      <c r="K229" s="41">
        <f t="shared" si="163"/>
        <v>0</v>
      </c>
      <c r="L229" s="41">
        <f t="shared" si="163"/>
        <v>0</v>
      </c>
      <c r="M229" s="41">
        <f t="shared" si="163"/>
        <v>0</v>
      </c>
      <c r="N229" s="41">
        <f t="shared" si="163"/>
        <v>0</v>
      </c>
      <c r="O229" s="41">
        <f t="shared" si="163"/>
        <v>0</v>
      </c>
      <c r="P229" s="41">
        <f t="shared" si="163"/>
        <v>0</v>
      </c>
      <c r="Q229" s="41">
        <f t="shared" si="163"/>
        <v>0</v>
      </c>
      <c r="R229" s="41">
        <f t="shared" si="163"/>
        <v>0</v>
      </c>
      <c r="S229" s="41">
        <f t="shared" si="163"/>
        <v>0</v>
      </c>
      <c r="T229" s="41">
        <f t="shared" si="163"/>
        <v>0</v>
      </c>
      <c r="U229" s="41">
        <f t="shared" si="163"/>
        <v>0</v>
      </c>
      <c r="V229" s="41">
        <f t="shared" si="163"/>
        <v>0</v>
      </c>
      <c r="W229" s="41">
        <f t="shared" si="163"/>
        <v>0</v>
      </c>
      <c r="X229" s="41">
        <f t="shared" si="163"/>
        <v>0</v>
      </c>
      <c r="Y229" s="41">
        <f t="shared" si="163"/>
        <v>0</v>
      </c>
      <c r="Z229" s="41">
        <f t="shared" si="163"/>
        <v>0</v>
      </c>
      <c r="AA229" s="41"/>
      <c r="FZ229" s="41"/>
    </row>
    <row r="230" spans="9:27" ht="13.5" customHeight="1"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112"/>
    </row>
    <row r="231" spans="1:27" ht="13.5" customHeight="1" thickBot="1">
      <c r="A231" s="106" t="s">
        <v>216</v>
      </c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112"/>
    </row>
    <row r="232" spans="1:182" ht="13.5" customHeight="1">
      <c r="A232" s="102" t="s">
        <v>270</v>
      </c>
      <c r="B232" s="41">
        <f aca="true" t="shared" si="164" ref="B232:Z232">B206+B165</f>
        <v>-1.3443126703867405</v>
      </c>
      <c r="C232" s="41">
        <f t="shared" si="164"/>
        <v>-4.031813277785582</v>
      </c>
      <c r="D232" s="41">
        <f t="shared" si="164"/>
        <v>-5.354132541273599</v>
      </c>
      <c r="E232" s="41">
        <f t="shared" si="164"/>
        <v>-5.462300406839159</v>
      </c>
      <c r="F232" s="41">
        <f t="shared" si="164"/>
        <v>-4.571015552046008</v>
      </c>
      <c r="G232" s="41">
        <f t="shared" si="164"/>
        <v>-2.9790790797873132</v>
      </c>
      <c r="H232" s="41">
        <f t="shared" si="164"/>
        <v>-1.0694098973807917</v>
      </c>
      <c r="I232" s="41">
        <f t="shared" si="164"/>
        <v>0.7391660541357822</v>
      </c>
      <c r="J232" s="41">
        <f t="shared" si="164"/>
        <v>2.0795763969120378</v>
      </c>
      <c r="K232" s="41">
        <f t="shared" si="164"/>
        <v>2.7091153254644613</v>
      </c>
      <c r="L232" s="41">
        <f t="shared" si="164"/>
        <v>2.505871760395712</v>
      </c>
      <c r="M232" s="41">
        <f t="shared" si="164"/>
        <v>1.3844341289228423</v>
      </c>
      <c r="N232" s="41">
        <f t="shared" si="164"/>
        <v>-0.8005279194846733</v>
      </c>
      <c r="O232" s="41">
        <f t="shared" si="164"/>
        <v>-4.238991575520531</v>
      </c>
      <c r="P232" s="41">
        <f t="shared" si="164"/>
        <v>-8.831962570997565</v>
      </c>
      <c r="Q232" s="41">
        <f t="shared" si="164"/>
        <v>-13.272487046133561</v>
      </c>
      <c r="R232" s="41">
        <f t="shared" si="164"/>
        <v>-13.867687466269928</v>
      </c>
      <c r="S232" s="41">
        <f t="shared" si="164"/>
        <v>-5.630202043744162</v>
      </c>
      <c r="T232" s="41">
        <f t="shared" si="164"/>
        <v>11.473219344801233</v>
      </c>
      <c r="U232" s="41">
        <f t="shared" si="164"/>
        <v>28.110797766101875</v>
      </c>
      <c r="V232" s="41">
        <f t="shared" si="164"/>
        <v>34.285754369736686</v>
      </c>
      <c r="W232" s="41">
        <f t="shared" si="164"/>
        <v>29.328640971671124</v>
      </c>
      <c r="X232" s="41">
        <f t="shared" si="164"/>
        <v>18.603807641057386</v>
      </c>
      <c r="Y232" s="41">
        <f t="shared" si="164"/>
        <v>6.8282247025482965</v>
      </c>
      <c r="Z232" s="41">
        <f t="shared" si="164"/>
        <v>6.835039537290483</v>
      </c>
      <c r="AA232" s="41"/>
      <c r="FZ232" s="41"/>
    </row>
    <row r="233" spans="1:182" ht="13.5" customHeight="1">
      <c r="A233" s="103" t="s">
        <v>271</v>
      </c>
      <c r="B233" s="41">
        <f aca="true" t="shared" si="165" ref="B233:Z233">B207+B166+$D$17*$F$13</f>
        <v>40.55449584377544</v>
      </c>
      <c r="C233" s="41">
        <f t="shared" si="165"/>
        <v>30.60180415011428</v>
      </c>
      <c r="D233" s="41">
        <f t="shared" si="165"/>
        <v>25.78964435642641</v>
      </c>
      <c r="E233" s="41">
        <f t="shared" si="165"/>
        <v>25.54599621738761</v>
      </c>
      <c r="F233" s="41">
        <f t="shared" si="165"/>
        <v>29.058686910007925</v>
      </c>
      <c r="G233" s="41">
        <f t="shared" si="165"/>
        <v>35.19987470689934</v>
      </c>
      <c r="H233" s="41">
        <f t="shared" si="165"/>
        <v>42.52685712128899</v>
      </c>
      <c r="I233" s="41">
        <f t="shared" si="165"/>
        <v>49.4629247922117</v>
      </c>
      <c r="J233" s="41">
        <f t="shared" si="165"/>
        <v>54.625444125441646</v>
      </c>
      <c r="K233" s="41">
        <f t="shared" si="165"/>
        <v>57.09771827361824</v>
      </c>
      <c r="L233" s="41">
        <f t="shared" si="165"/>
        <v>56.41640008099377</v>
      </c>
      <c r="M233" s="41">
        <f t="shared" si="165"/>
        <v>52.25746836233479</v>
      </c>
      <c r="N233" s="41">
        <f t="shared" si="165"/>
        <v>44.076748485550695</v>
      </c>
      <c r="O233" s="41">
        <f t="shared" si="165"/>
        <v>31.167030302722306</v>
      </c>
      <c r="P233" s="41">
        <f t="shared" si="165"/>
        <v>13.903026308435336</v>
      </c>
      <c r="Q233" s="41">
        <f t="shared" si="165"/>
        <v>-2.829276476023466</v>
      </c>
      <c r="R233" s="41">
        <f t="shared" si="165"/>
        <v>-5.236965015174356</v>
      </c>
      <c r="S233" s="41">
        <f t="shared" si="165"/>
        <v>25.305749108299782</v>
      </c>
      <c r="T233" s="41">
        <f t="shared" si="165"/>
        <v>88.93658671361143</v>
      </c>
      <c r="U233" s="41">
        <f t="shared" si="165"/>
        <v>150.8425043663014</v>
      </c>
      <c r="V233" s="41">
        <f t="shared" si="165"/>
        <v>173.72771631460134</v>
      </c>
      <c r="W233" s="41">
        <f t="shared" si="165"/>
        <v>155.10471437266375</v>
      </c>
      <c r="X233" s="41">
        <f t="shared" si="165"/>
        <v>115.00189436158163</v>
      </c>
      <c r="Y233" s="41">
        <f t="shared" si="165"/>
        <v>71.02849004680701</v>
      </c>
      <c r="Z233" s="41">
        <f t="shared" si="165"/>
        <v>71.08025385582751</v>
      </c>
      <c r="AA233" s="41"/>
      <c r="FZ233" s="41"/>
    </row>
    <row r="234" spans="1:182" ht="13.5" customHeight="1">
      <c r="A234" s="103" t="s">
        <v>217</v>
      </c>
      <c r="B234" s="41">
        <f aca="true" t="shared" si="166" ref="B234:Y234">B167</f>
        <v>0</v>
      </c>
      <c r="C234" s="41">
        <f t="shared" si="166"/>
        <v>0</v>
      </c>
      <c r="D234" s="41">
        <f t="shared" si="166"/>
        <v>0</v>
      </c>
      <c r="E234" s="41">
        <f t="shared" si="166"/>
        <v>0</v>
      </c>
      <c r="F234" s="41">
        <f t="shared" si="166"/>
        <v>0</v>
      </c>
      <c r="G234" s="41">
        <f t="shared" si="166"/>
        <v>0</v>
      </c>
      <c r="H234" s="41">
        <f t="shared" si="166"/>
        <v>0</v>
      </c>
      <c r="I234" s="41">
        <f t="shared" si="166"/>
        <v>0</v>
      </c>
      <c r="J234" s="41">
        <f t="shared" si="166"/>
        <v>0</v>
      </c>
      <c r="K234" s="41">
        <f t="shared" si="166"/>
        <v>0</v>
      </c>
      <c r="L234" s="41">
        <f t="shared" si="166"/>
        <v>0</v>
      </c>
      <c r="M234" s="41">
        <f t="shared" si="166"/>
        <v>0</v>
      </c>
      <c r="N234" s="41">
        <f t="shared" si="166"/>
        <v>0</v>
      </c>
      <c r="O234" s="41">
        <f t="shared" si="166"/>
        <v>0</v>
      </c>
      <c r="P234" s="41">
        <f t="shared" si="166"/>
        <v>0</v>
      </c>
      <c r="Q234" s="41">
        <f t="shared" si="166"/>
        <v>0</v>
      </c>
      <c r="R234" s="41">
        <f t="shared" si="166"/>
        <v>0</v>
      </c>
      <c r="S234" s="41">
        <f t="shared" si="166"/>
        <v>0</v>
      </c>
      <c r="T234" s="41">
        <f t="shared" si="166"/>
        <v>0</v>
      </c>
      <c r="U234" s="41">
        <f t="shared" si="166"/>
        <v>0</v>
      </c>
      <c r="V234" s="41">
        <f t="shared" si="166"/>
        <v>0</v>
      </c>
      <c r="W234" s="41">
        <f t="shared" si="166"/>
        <v>0</v>
      </c>
      <c r="X234" s="41">
        <f t="shared" si="166"/>
        <v>0</v>
      </c>
      <c r="Y234" s="41">
        <f t="shared" si="166"/>
        <v>0</v>
      </c>
      <c r="Z234" s="41">
        <f aca="true" t="shared" si="167" ref="Z234:Z239">Y234</f>
        <v>0</v>
      </c>
      <c r="AA234" s="41"/>
      <c r="FZ234" s="41"/>
    </row>
    <row r="235" spans="1:182" ht="13.5" customHeight="1">
      <c r="A235" s="103" t="s">
        <v>178</v>
      </c>
      <c r="B235" s="41">
        <f aca="true" t="shared" si="168" ref="B235:Y235">B232*B114+B233*B117</f>
        <v>217.5905531340236</v>
      </c>
      <c r="C235" s="41">
        <f t="shared" si="168"/>
        <v>145.13605500430887</v>
      </c>
      <c r="D235" s="41">
        <f t="shared" si="168"/>
        <v>94.8693485845297</v>
      </c>
      <c r="E235" s="41">
        <f t="shared" si="168"/>
        <v>63.17038375128466</v>
      </c>
      <c r="F235" s="41">
        <f t="shared" si="168"/>
        <v>37.37312928176377</v>
      </c>
      <c r="G235" s="41">
        <f t="shared" si="168"/>
        <v>8.657678620609195</v>
      </c>
      <c r="H235" s="41">
        <f t="shared" si="168"/>
        <v>-21.795263207466316</v>
      </c>
      <c r="I235" s="41">
        <f t="shared" si="168"/>
        <v>-44.95308809267299</v>
      </c>
      <c r="J235" s="41">
        <f t="shared" si="168"/>
        <v>-52.08970148718093</v>
      </c>
      <c r="K235" s="41">
        <f t="shared" si="168"/>
        <v>-42.148431163151955</v>
      </c>
      <c r="L235" s="41">
        <f t="shared" si="168"/>
        <v>-22.703795745756075</v>
      </c>
      <c r="M235" s="41">
        <f t="shared" si="168"/>
        <v>-5.4262248144305065</v>
      </c>
      <c r="N235" s="41">
        <f t="shared" si="168"/>
        <v>-0.17092228298809498</v>
      </c>
      <c r="O235" s="41">
        <f t="shared" si="168"/>
        <v>-8.189003440679887</v>
      </c>
      <c r="P235" s="41">
        <f t="shared" si="168"/>
        <v>-12.694935388155892</v>
      </c>
      <c r="Q235" s="41">
        <f t="shared" si="168"/>
        <v>16.902095147847763</v>
      </c>
      <c r="R235" s="41">
        <f t="shared" si="168"/>
        <v>43.45519234297207</v>
      </c>
      <c r="S235" s="41">
        <f t="shared" si="168"/>
        <v>-169.01503686709088</v>
      </c>
      <c r="T235" s="41">
        <f t="shared" si="168"/>
        <v>-743.3084936221767</v>
      </c>
      <c r="U235" s="41">
        <f t="shared" si="168"/>
        <v>-1039.6131355108753</v>
      </c>
      <c r="V235" s="41">
        <f t="shared" si="168"/>
        <v>-503.55369425124326</v>
      </c>
      <c r="W235" s="41">
        <f t="shared" si="168"/>
        <v>293.42117766450514</v>
      </c>
      <c r="X235" s="41">
        <f t="shared" si="168"/>
        <v>668.1232602983446</v>
      </c>
      <c r="Y235" s="41">
        <f t="shared" si="168"/>
        <v>571.0840191120366</v>
      </c>
      <c r="Z235" s="41">
        <f t="shared" si="167"/>
        <v>571.0840191120366</v>
      </c>
      <c r="AA235" s="41"/>
      <c r="FZ235" s="41"/>
    </row>
    <row r="236" spans="1:182" ht="13.5" customHeight="1">
      <c r="A236" s="103" t="s">
        <v>176</v>
      </c>
      <c r="B236" s="41">
        <f aca="true" t="shared" si="169" ref="B236:Y236">B234*0</f>
        <v>0</v>
      </c>
      <c r="C236" s="41">
        <f t="shared" si="169"/>
        <v>0</v>
      </c>
      <c r="D236" s="41">
        <f t="shared" si="169"/>
        <v>0</v>
      </c>
      <c r="E236" s="41">
        <f t="shared" si="169"/>
        <v>0</v>
      </c>
      <c r="F236" s="41">
        <f t="shared" si="169"/>
        <v>0</v>
      </c>
      <c r="G236" s="41">
        <f t="shared" si="169"/>
        <v>0</v>
      </c>
      <c r="H236" s="41">
        <f t="shared" si="169"/>
        <v>0</v>
      </c>
      <c r="I236" s="41">
        <f t="shared" si="169"/>
        <v>0</v>
      </c>
      <c r="J236" s="41">
        <f t="shared" si="169"/>
        <v>0</v>
      </c>
      <c r="K236" s="41">
        <f t="shared" si="169"/>
        <v>0</v>
      </c>
      <c r="L236" s="41">
        <f t="shared" si="169"/>
        <v>0</v>
      </c>
      <c r="M236" s="41">
        <f t="shared" si="169"/>
        <v>0</v>
      </c>
      <c r="N236" s="41">
        <f t="shared" si="169"/>
        <v>0</v>
      </c>
      <c r="O236" s="41">
        <f t="shared" si="169"/>
        <v>0</v>
      </c>
      <c r="P236" s="41">
        <f t="shared" si="169"/>
        <v>0</v>
      </c>
      <c r="Q236" s="41">
        <f t="shared" si="169"/>
        <v>0</v>
      </c>
      <c r="R236" s="41">
        <f t="shared" si="169"/>
        <v>0</v>
      </c>
      <c r="S236" s="41">
        <f t="shared" si="169"/>
        <v>0</v>
      </c>
      <c r="T236" s="41">
        <f t="shared" si="169"/>
        <v>0</v>
      </c>
      <c r="U236" s="41">
        <f t="shared" si="169"/>
        <v>0</v>
      </c>
      <c r="V236" s="41">
        <f t="shared" si="169"/>
        <v>0</v>
      </c>
      <c r="W236" s="41">
        <f t="shared" si="169"/>
        <v>0</v>
      </c>
      <c r="X236" s="41">
        <f t="shared" si="169"/>
        <v>0</v>
      </c>
      <c r="Y236" s="41">
        <f t="shared" si="169"/>
        <v>0</v>
      </c>
      <c r="Z236" s="41">
        <f t="shared" si="167"/>
        <v>0</v>
      </c>
      <c r="AA236" s="41"/>
      <c r="FZ236" s="41"/>
    </row>
    <row r="237" spans="1:182" ht="13.5" customHeight="1">
      <c r="A237" s="103" t="s">
        <v>177</v>
      </c>
      <c r="B237" s="41">
        <f aca="true" t="shared" si="170" ref="B237:Y237">B235+B236</f>
        <v>217.5905531340236</v>
      </c>
      <c r="C237" s="41">
        <f t="shared" si="170"/>
        <v>145.13605500430887</v>
      </c>
      <c r="D237" s="41">
        <f t="shared" si="170"/>
        <v>94.8693485845297</v>
      </c>
      <c r="E237" s="41">
        <f t="shared" si="170"/>
        <v>63.17038375128466</v>
      </c>
      <c r="F237" s="41">
        <f t="shared" si="170"/>
        <v>37.37312928176377</v>
      </c>
      <c r="G237" s="41">
        <f t="shared" si="170"/>
        <v>8.657678620609195</v>
      </c>
      <c r="H237" s="41">
        <f t="shared" si="170"/>
        <v>-21.795263207466316</v>
      </c>
      <c r="I237" s="41">
        <f t="shared" si="170"/>
        <v>-44.95308809267299</v>
      </c>
      <c r="J237" s="41">
        <f t="shared" si="170"/>
        <v>-52.08970148718093</v>
      </c>
      <c r="K237" s="41">
        <f t="shared" si="170"/>
        <v>-42.148431163151955</v>
      </c>
      <c r="L237" s="41">
        <f t="shared" si="170"/>
        <v>-22.703795745756075</v>
      </c>
      <c r="M237" s="41">
        <f t="shared" si="170"/>
        <v>-5.4262248144305065</v>
      </c>
      <c r="N237" s="41">
        <f t="shared" si="170"/>
        <v>-0.17092228298809498</v>
      </c>
      <c r="O237" s="41">
        <f t="shared" si="170"/>
        <v>-8.189003440679887</v>
      </c>
      <c r="P237" s="41">
        <f t="shared" si="170"/>
        <v>-12.694935388155892</v>
      </c>
      <c r="Q237" s="41">
        <f t="shared" si="170"/>
        <v>16.902095147847763</v>
      </c>
      <c r="R237" s="41">
        <f t="shared" si="170"/>
        <v>43.45519234297207</v>
      </c>
      <c r="S237" s="41">
        <f t="shared" si="170"/>
        <v>-169.01503686709088</v>
      </c>
      <c r="T237" s="41">
        <f t="shared" si="170"/>
        <v>-743.3084936221767</v>
      </c>
      <c r="U237" s="41">
        <f t="shared" si="170"/>
        <v>-1039.6131355108753</v>
      </c>
      <c r="V237" s="41">
        <f t="shared" si="170"/>
        <v>-503.55369425124326</v>
      </c>
      <c r="W237" s="41">
        <f t="shared" si="170"/>
        <v>293.42117766450514</v>
      </c>
      <c r="X237" s="41">
        <f t="shared" si="170"/>
        <v>668.1232602983446</v>
      </c>
      <c r="Y237" s="41">
        <f t="shared" si="170"/>
        <v>571.0840191120366</v>
      </c>
      <c r="Z237" s="41">
        <f t="shared" si="167"/>
        <v>571.0840191120366</v>
      </c>
      <c r="AA237" s="41"/>
      <c r="FZ237" s="41"/>
    </row>
    <row r="238" spans="1:182" ht="13.5" customHeight="1">
      <c r="A238" s="103" t="s">
        <v>214</v>
      </c>
      <c r="B238" s="41">
        <f aca="true" t="shared" si="171" ref="B238:Y238">B171+B208</f>
        <v>217.5905531340236</v>
      </c>
      <c r="C238" s="41">
        <f t="shared" si="171"/>
        <v>145.13605500430887</v>
      </c>
      <c r="D238" s="41">
        <f t="shared" si="171"/>
        <v>94.86934858452969</v>
      </c>
      <c r="E238" s="41">
        <f t="shared" si="171"/>
        <v>63.17038375128467</v>
      </c>
      <c r="F238" s="41">
        <f t="shared" si="171"/>
        <v>37.37312928176376</v>
      </c>
      <c r="G238" s="41">
        <f t="shared" si="171"/>
        <v>8.657678620609193</v>
      </c>
      <c r="H238" s="41">
        <f t="shared" si="171"/>
        <v>-21.795263207466316</v>
      </c>
      <c r="I238" s="41">
        <f t="shared" si="171"/>
        <v>-44.953088092672985</v>
      </c>
      <c r="J238" s="41">
        <f t="shared" si="171"/>
        <v>-52.089701487180925</v>
      </c>
      <c r="K238" s="41">
        <f t="shared" si="171"/>
        <v>-42.14843116315195</v>
      </c>
      <c r="L238" s="41">
        <f t="shared" si="171"/>
        <v>-22.703795745756075</v>
      </c>
      <c r="M238" s="41">
        <f t="shared" si="171"/>
        <v>-5.4262248144305065</v>
      </c>
      <c r="N238" s="41">
        <f t="shared" si="171"/>
        <v>-0.17092228298809495</v>
      </c>
      <c r="O238" s="41">
        <f t="shared" si="171"/>
        <v>-8.189003440679883</v>
      </c>
      <c r="P238" s="41">
        <f t="shared" si="171"/>
        <v>-12.694935388155894</v>
      </c>
      <c r="Q238" s="41">
        <f t="shared" si="171"/>
        <v>16.902095147847767</v>
      </c>
      <c r="R238" s="41">
        <f t="shared" si="171"/>
        <v>43.45519234297208</v>
      </c>
      <c r="S238" s="41">
        <f t="shared" si="171"/>
        <v>-169.01503686709086</v>
      </c>
      <c r="T238" s="41">
        <f t="shared" si="171"/>
        <v>-743.3084936221767</v>
      </c>
      <c r="U238" s="41">
        <f t="shared" si="171"/>
        <v>-1039.6131355108753</v>
      </c>
      <c r="V238" s="41">
        <f t="shared" si="171"/>
        <v>-503.5536942512432</v>
      </c>
      <c r="W238" s="41">
        <f t="shared" si="171"/>
        <v>293.4211776645052</v>
      </c>
      <c r="X238" s="41">
        <f t="shared" si="171"/>
        <v>668.1232602983445</v>
      </c>
      <c r="Y238" s="41">
        <f t="shared" si="171"/>
        <v>571.0840191120365</v>
      </c>
      <c r="Z238" s="41">
        <f t="shared" si="167"/>
        <v>571.0840191120365</v>
      </c>
      <c r="AA238" s="41"/>
      <c r="FZ238" s="41"/>
    </row>
    <row r="239" spans="1:182" ht="13.5" customHeight="1" thickBot="1">
      <c r="A239" s="104" t="s">
        <v>218</v>
      </c>
      <c r="B239" s="41">
        <f aca="true" t="shared" si="172" ref="B239:Y239">B237-B238</f>
        <v>0</v>
      </c>
      <c r="C239" s="41">
        <f t="shared" si="172"/>
        <v>0</v>
      </c>
      <c r="D239" s="41">
        <f t="shared" si="172"/>
        <v>0</v>
      </c>
      <c r="E239" s="41">
        <f t="shared" si="172"/>
        <v>0</v>
      </c>
      <c r="F239" s="41">
        <f t="shared" si="172"/>
        <v>0</v>
      </c>
      <c r="G239" s="41">
        <f t="shared" si="172"/>
        <v>0</v>
      </c>
      <c r="H239" s="41">
        <f t="shared" si="172"/>
        <v>0</v>
      </c>
      <c r="I239" s="41">
        <f t="shared" si="172"/>
        <v>0</v>
      </c>
      <c r="J239" s="41">
        <f t="shared" si="172"/>
        <v>0</v>
      </c>
      <c r="K239" s="41">
        <f t="shared" si="172"/>
        <v>0</v>
      </c>
      <c r="L239" s="41">
        <f t="shared" si="172"/>
        <v>0</v>
      </c>
      <c r="M239" s="41">
        <f t="shared" si="172"/>
        <v>0</v>
      </c>
      <c r="N239" s="41">
        <f t="shared" si="172"/>
        <v>0</v>
      </c>
      <c r="O239" s="41">
        <f t="shared" si="172"/>
        <v>0</v>
      </c>
      <c r="P239" s="41">
        <f t="shared" si="172"/>
        <v>0</v>
      </c>
      <c r="Q239" s="41">
        <f t="shared" si="172"/>
        <v>0</v>
      </c>
      <c r="R239" s="41">
        <f t="shared" si="172"/>
        <v>0</v>
      </c>
      <c r="S239" s="41">
        <f t="shared" si="172"/>
        <v>0</v>
      </c>
      <c r="T239" s="41">
        <f t="shared" si="172"/>
        <v>0</v>
      </c>
      <c r="U239" s="41">
        <f t="shared" si="172"/>
        <v>0</v>
      </c>
      <c r="V239" s="41">
        <f t="shared" si="172"/>
        <v>0</v>
      </c>
      <c r="W239" s="41">
        <f t="shared" si="172"/>
        <v>0</v>
      </c>
      <c r="X239" s="41">
        <f t="shared" si="172"/>
        <v>0</v>
      </c>
      <c r="Y239" s="41">
        <f t="shared" si="172"/>
        <v>0</v>
      </c>
      <c r="Z239" s="41">
        <f t="shared" si="167"/>
        <v>0</v>
      </c>
      <c r="AA239" s="41"/>
      <c r="FZ239" s="41"/>
    </row>
    <row r="240" spans="9:27" ht="13.5" customHeight="1"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112"/>
    </row>
    <row r="241" spans="1:27" ht="13.5" customHeight="1">
      <c r="A241" s="106" t="s">
        <v>220</v>
      </c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112"/>
    </row>
    <row r="242" spans="1:182" ht="13.5" customHeight="1">
      <c r="A242" s="106" t="s">
        <v>221</v>
      </c>
      <c r="B242" s="41">
        <f aca="true" t="shared" si="173" ref="B242:Z242">B36-B60*(B101-B35)</f>
        <v>-0.2090064895281255</v>
      </c>
      <c r="C242" s="41">
        <f t="shared" si="173"/>
        <v>-2.1145264159279424</v>
      </c>
      <c r="D242" s="41">
        <f t="shared" si="173"/>
        <v>-3.845859812023449</v>
      </c>
      <c r="E242" s="41">
        <f t="shared" si="173"/>
        <v>-5.287225522136752</v>
      </c>
      <c r="F242" s="41">
        <f t="shared" si="173"/>
        <v>-6.333510840909334</v>
      </c>
      <c r="G242" s="41">
        <f t="shared" si="173"/>
        <v>-6.910803993718911</v>
      </c>
      <c r="H242" s="41">
        <f t="shared" si="173"/>
        <v>-6.992822110867524</v>
      </c>
      <c r="I242" s="41">
        <f t="shared" si="173"/>
        <v>-6.6105655063314375</v>
      </c>
      <c r="J242" s="41">
        <f t="shared" si="173"/>
        <v>-5.848496226325348</v>
      </c>
      <c r="K242" s="41">
        <f t="shared" si="173"/>
        <v>-4.82239856348358</v>
      </c>
      <c r="L242" s="41">
        <f t="shared" si="173"/>
        <v>-3.643566636508876</v>
      </c>
      <c r="M242" s="41">
        <f t="shared" si="173"/>
        <v>-2.3834579296276206</v>
      </c>
      <c r="N242" s="41">
        <f t="shared" si="173"/>
        <v>-1.0524065891011831</v>
      </c>
      <c r="O242" s="41">
        <f t="shared" si="173"/>
        <v>0.4026745466513777</v>
      </c>
      <c r="P242" s="41">
        <f t="shared" si="173"/>
        <v>2.08066553369444</v>
      </c>
      <c r="Q242" s="41">
        <f t="shared" si="173"/>
        <v>4.078879107013611</v>
      </c>
      <c r="R242" s="41">
        <f t="shared" si="173"/>
        <v>6.392569737784135</v>
      </c>
      <c r="S242" s="41">
        <f t="shared" si="173"/>
        <v>8.759160224453739</v>
      </c>
      <c r="T242" s="41">
        <f t="shared" si="173"/>
        <v>10.570781916955351</v>
      </c>
      <c r="U242" s="41">
        <f t="shared" si="173"/>
        <v>11.126349858199152</v>
      </c>
      <c r="V242" s="41">
        <f t="shared" si="173"/>
        <v>10.191999127152394</v>
      </c>
      <c r="W242" s="41">
        <f t="shared" si="173"/>
        <v>8.16849846405143</v>
      </c>
      <c r="X242" s="41">
        <f t="shared" si="173"/>
        <v>5.586308861942443</v>
      </c>
      <c r="Y242" s="41">
        <f t="shared" si="173"/>
        <v>2.7171906470965768</v>
      </c>
      <c r="Z242" s="41">
        <f t="shared" si="173"/>
        <v>-0.3302341517631663</v>
      </c>
      <c r="AA242" s="41"/>
      <c r="FZ242" s="41"/>
    </row>
    <row r="243" spans="1:182" ht="13.5" customHeight="1" thickBot="1">
      <c r="A243" s="106" t="s">
        <v>222</v>
      </c>
      <c r="B243" s="41">
        <f aca="true" t="shared" si="174" ref="B243:Z243">B37+(B100-B34)*B60</f>
        <v>5.645567551713645</v>
      </c>
      <c r="C243" s="41">
        <f t="shared" si="174"/>
        <v>5.650111951414697</v>
      </c>
      <c r="D243" s="41">
        <f t="shared" si="174"/>
        <v>5.203488998111793</v>
      </c>
      <c r="E243" s="41">
        <f t="shared" si="174"/>
        <v>4.428820471989766</v>
      </c>
      <c r="F243" s="41">
        <f t="shared" si="174"/>
        <v>3.4580241461099868</v>
      </c>
      <c r="G243" s="41">
        <f t="shared" si="174"/>
        <v>2.427716231949896</v>
      </c>
      <c r="H243" s="41">
        <f t="shared" si="174"/>
        <v>1.4689827646918288</v>
      </c>
      <c r="I243" s="41">
        <f t="shared" si="174"/>
        <v>0.689352395299506</v>
      </c>
      <c r="J243" s="41">
        <f t="shared" si="174"/>
        <v>0.15235013559394606</v>
      </c>
      <c r="K243" s="41">
        <f t="shared" si="174"/>
        <v>-0.135366045909036</v>
      </c>
      <c r="L243" s="41">
        <f t="shared" si="174"/>
        <v>-0.22123340361829413</v>
      </c>
      <c r="M243" s="41">
        <f t="shared" si="174"/>
        <v>-0.1895438728928287</v>
      </c>
      <c r="N243" s="41">
        <f t="shared" si="174"/>
        <v>-0.1393476463273462</v>
      </c>
      <c r="O243" s="41">
        <f t="shared" si="174"/>
        <v>-0.16637436598863964</v>
      </c>
      <c r="P243" s="41">
        <f t="shared" si="174"/>
        <v>-0.34910343334428173</v>
      </c>
      <c r="Q243" s="41">
        <f t="shared" si="174"/>
        <v>-0.7290655550847962</v>
      </c>
      <c r="R243" s="41">
        <f t="shared" si="174"/>
        <v>-1.269455589317365</v>
      </c>
      <c r="S243" s="41">
        <f t="shared" si="174"/>
        <v>-1.7858210764786326</v>
      </c>
      <c r="T243" s="41">
        <f t="shared" si="174"/>
        <v>-1.896693278998015</v>
      </c>
      <c r="U243" s="41">
        <f t="shared" si="174"/>
        <v>-1.133207511265423</v>
      </c>
      <c r="V243" s="41">
        <f t="shared" si="174"/>
        <v>0.7098423330497967</v>
      </c>
      <c r="W243" s="41">
        <f t="shared" si="174"/>
        <v>3.2755468682513484</v>
      </c>
      <c r="X243" s="41">
        <f t="shared" si="174"/>
        <v>5.84181557456831</v>
      </c>
      <c r="Y243" s="41">
        <f t="shared" si="174"/>
        <v>7.81009885696151</v>
      </c>
      <c r="Z243" s="41">
        <f t="shared" si="174"/>
        <v>8.920102030664216</v>
      </c>
      <c r="AA243" s="41"/>
      <c r="FZ243" s="41"/>
    </row>
    <row r="244" spans="1:182" ht="13.5" customHeight="1">
      <c r="A244" s="102" t="s">
        <v>174</v>
      </c>
      <c r="B244" s="41">
        <f aca="true" t="shared" si="175" ref="B244:Z244">B232*B114/B242</f>
        <v>9.329721200501492</v>
      </c>
      <c r="C244" s="41">
        <f t="shared" si="175"/>
        <v>2.5117527797412365</v>
      </c>
      <c r="D244" s="41">
        <f t="shared" si="175"/>
        <v>1.453067360267694</v>
      </c>
      <c r="E244" s="41">
        <f t="shared" si="175"/>
        <v>0.7261299639843188</v>
      </c>
      <c r="F244" s="41">
        <f t="shared" si="175"/>
        <v>0.2596607079214675</v>
      </c>
      <c r="G244" s="41">
        <f t="shared" si="175"/>
        <v>0.02906888088107081</v>
      </c>
      <c r="H244" s="41">
        <f t="shared" si="175"/>
        <v>-0.021143612777306663</v>
      </c>
      <c r="I244" s="41">
        <f t="shared" si="175"/>
        <v>0.027120648264709928</v>
      </c>
      <c r="J244" s="41">
        <f t="shared" si="175"/>
        <v>0.08993574085415225</v>
      </c>
      <c r="K244" s="41">
        <f t="shared" si="175"/>
        <v>0.10972180791306235</v>
      </c>
      <c r="L244" s="41">
        <f t="shared" si="175"/>
        <v>0.07328910006550086</v>
      </c>
      <c r="M244" s="41">
        <f t="shared" si="175"/>
        <v>0.01604702973725737</v>
      </c>
      <c r="N244" s="41">
        <f t="shared" si="175"/>
        <v>-0.0007942426036504114</v>
      </c>
      <c r="O244" s="41">
        <f t="shared" si="175"/>
        <v>0.7691645390127918</v>
      </c>
      <c r="P244" s="41">
        <f t="shared" si="175"/>
        <v>1.2515940279553244</v>
      </c>
      <c r="Q244" s="41">
        <f t="shared" si="175"/>
        <v>2.3078140418447974</v>
      </c>
      <c r="R244" s="41">
        <f t="shared" si="175"/>
        <v>2.821394299952008</v>
      </c>
      <c r="S244" s="41">
        <f t="shared" si="175"/>
        <v>1.2232480222321758</v>
      </c>
      <c r="T244" s="41">
        <f t="shared" si="175"/>
        <v>-2.3494207446200845</v>
      </c>
      <c r="U244" s="41">
        <f t="shared" si="175"/>
        <v>-4.4438426479754805</v>
      </c>
      <c r="V244" s="41">
        <f t="shared" si="175"/>
        <v>-2.4814429912570364</v>
      </c>
      <c r="W244" s="41">
        <f t="shared" si="175"/>
        <v>1.7322230173283533</v>
      </c>
      <c r="X244" s="41">
        <f t="shared" si="175"/>
        <v>4.968812168168479</v>
      </c>
      <c r="Y244" s="41">
        <f t="shared" si="175"/>
        <v>5.277913495288049</v>
      </c>
      <c r="Z244" s="41">
        <f t="shared" si="175"/>
        <v>-47.43614687420907</v>
      </c>
      <c r="AA244" s="41"/>
      <c r="FZ244" s="41"/>
    </row>
    <row r="245" spans="1:182" ht="13.5" customHeight="1">
      <c r="A245" s="103" t="s">
        <v>175</v>
      </c>
      <c r="B245" s="41">
        <f aca="true" t="shared" si="176" ref="B245:Y245">B233*B117/B243</f>
        <v>38.88723735911682</v>
      </c>
      <c r="C245" s="41">
        <f t="shared" si="176"/>
        <v>26.627299405931698</v>
      </c>
      <c r="D245" s="41">
        <f t="shared" si="176"/>
        <v>19.30582383973515</v>
      </c>
      <c r="E245" s="41">
        <f t="shared" si="176"/>
        <v>15.130348374483768</v>
      </c>
      <c r="F245" s="41">
        <f t="shared" si="176"/>
        <v>11.283233297903514</v>
      </c>
      <c r="G245" s="41">
        <f t="shared" si="176"/>
        <v>3.6489305636763008</v>
      </c>
      <c r="H245" s="41">
        <f t="shared" si="176"/>
        <v>-14.93762708305324</v>
      </c>
      <c r="I245" s="41">
        <f t="shared" si="176"/>
        <v>-64.95053266811654</v>
      </c>
      <c r="J245" s="41">
        <f t="shared" si="176"/>
        <v>-338.45531180631673</v>
      </c>
      <c r="K245" s="41">
        <f t="shared" si="176"/>
        <v>307.45752078964284</v>
      </c>
      <c r="L245" s="41">
        <f t="shared" si="176"/>
        <v>101.41670136146803</v>
      </c>
      <c r="M245" s="41">
        <f t="shared" si="176"/>
        <v>28.426017216619414</v>
      </c>
      <c r="N245" s="41">
        <f t="shared" si="176"/>
        <v>1.2325873716879205</v>
      </c>
      <c r="O245" s="41">
        <f t="shared" si="176"/>
        <v>51.08194626152618</v>
      </c>
      <c r="P245" s="41">
        <f t="shared" si="176"/>
        <v>43.8239286212134</v>
      </c>
      <c r="Q245" s="41">
        <f t="shared" si="176"/>
        <v>-10.271779564216795</v>
      </c>
      <c r="R245" s="41">
        <f t="shared" si="176"/>
        <v>-20.023727286443407</v>
      </c>
      <c r="S245" s="41">
        <f t="shared" si="176"/>
        <v>100.642592169686</v>
      </c>
      <c r="T245" s="41">
        <f t="shared" si="176"/>
        <v>378.8030923371975</v>
      </c>
      <c r="U245" s="41">
        <f t="shared" si="176"/>
        <v>873.775877455152</v>
      </c>
      <c r="V245" s="41">
        <f t="shared" si="176"/>
        <v>-673.7592380486021</v>
      </c>
      <c r="W245" s="41">
        <f t="shared" si="176"/>
        <v>85.25950866859466</v>
      </c>
      <c r="X245" s="41">
        <f t="shared" si="176"/>
        <v>109.61762360964269</v>
      </c>
      <c r="Y245" s="41">
        <f t="shared" si="176"/>
        <v>71.28500318919828</v>
      </c>
      <c r="Z245" s="41">
        <f>Y245</f>
        <v>71.28500318919828</v>
      </c>
      <c r="AA245" s="41"/>
      <c r="FZ245" s="41"/>
    </row>
    <row r="246" spans="1:182" ht="13.5" customHeight="1" thickBot="1">
      <c r="A246" s="104" t="s">
        <v>223</v>
      </c>
      <c r="B246" s="41">
        <f aca="true" t="shared" si="177" ref="B246:Z246">B244*B242+B245*B243-B238</f>
        <v>0</v>
      </c>
      <c r="C246" s="41">
        <f t="shared" si="177"/>
        <v>0</v>
      </c>
      <c r="D246" s="41">
        <f t="shared" si="177"/>
        <v>0</v>
      </c>
      <c r="E246" s="41">
        <f t="shared" si="177"/>
        <v>0</v>
      </c>
      <c r="F246" s="41">
        <f t="shared" si="177"/>
        <v>0</v>
      </c>
      <c r="G246" s="41">
        <f t="shared" si="177"/>
        <v>0</v>
      </c>
      <c r="H246" s="41">
        <f t="shared" si="177"/>
        <v>0</v>
      </c>
      <c r="I246" s="41">
        <f t="shared" si="177"/>
        <v>0</v>
      </c>
      <c r="J246" s="41">
        <f t="shared" si="177"/>
        <v>0</v>
      </c>
      <c r="K246" s="41">
        <f t="shared" si="177"/>
        <v>0</v>
      </c>
      <c r="L246" s="41">
        <f t="shared" si="177"/>
        <v>0</v>
      </c>
      <c r="M246" s="41">
        <f t="shared" si="177"/>
        <v>0</v>
      </c>
      <c r="N246" s="41">
        <f t="shared" si="177"/>
        <v>0</v>
      </c>
      <c r="O246" s="41">
        <f t="shared" si="177"/>
        <v>0</v>
      </c>
      <c r="P246" s="41">
        <f t="shared" si="177"/>
        <v>0</v>
      </c>
      <c r="Q246" s="41">
        <f t="shared" si="177"/>
        <v>0</v>
      </c>
      <c r="R246" s="41">
        <f t="shared" si="177"/>
        <v>0</v>
      </c>
      <c r="S246" s="41">
        <f t="shared" si="177"/>
        <v>0</v>
      </c>
      <c r="T246" s="41">
        <f t="shared" si="177"/>
        <v>0</v>
      </c>
      <c r="U246" s="41">
        <f t="shared" si="177"/>
        <v>0</v>
      </c>
      <c r="V246" s="41">
        <f t="shared" si="177"/>
        <v>0</v>
      </c>
      <c r="W246" s="41">
        <f t="shared" si="177"/>
        <v>0</v>
      </c>
      <c r="X246" s="41">
        <f t="shared" si="177"/>
        <v>0</v>
      </c>
      <c r="Y246" s="41">
        <f t="shared" si="177"/>
        <v>0</v>
      </c>
      <c r="Z246" s="41">
        <f t="shared" si="177"/>
        <v>80.45051831775356</v>
      </c>
      <c r="AA246" s="41"/>
      <c r="FZ246" s="41"/>
    </row>
    <row r="247" spans="9:27" ht="13.5" customHeight="1"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112"/>
    </row>
    <row r="248" spans="1:27" ht="13.5" customHeight="1" thickBot="1">
      <c r="A248" s="106" t="s">
        <v>272</v>
      </c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112"/>
    </row>
    <row r="249" spans="1:182" ht="13.5" customHeight="1">
      <c r="A249" s="102" t="s">
        <v>253</v>
      </c>
      <c r="B249" s="41">
        <f>B226+B244+B138</f>
        <v>-34.36555153622562</v>
      </c>
      <c r="C249" s="41">
        <f aca="true" t="shared" si="178" ref="C249:K249">C226+C244+C138</f>
        <v>-36.046243959376916</v>
      </c>
      <c r="D249" s="41">
        <f t="shared" si="178"/>
        <v>-31.310349210681963</v>
      </c>
      <c r="E249" s="41">
        <f t="shared" si="178"/>
        <v>-25.836174729689183</v>
      </c>
      <c r="F249" s="41">
        <f t="shared" si="178"/>
        <v>-19.702558306933515</v>
      </c>
      <c r="G249" s="41">
        <f t="shared" si="178"/>
        <v>-13.020023022796167</v>
      </c>
      <c r="H249" s="41">
        <f t="shared" si="178"/>
        <v>-6.0501458116700135</v>
      </c>
      <c r="I249" s="41">
        <f t="shared" si="178"/>
        <v>0.8730066621863983</v>
      </c>
      <c r="J249" s="41">
        <f t="shared" si="178"/>
        <v>7.479106205417882</v>
      </c>
      <c r="K249" s="41">
        <f t="shared" si="178"/>
        <v>13.674174564464945</v>
      </c>
      <c r="L249" s="41">
        <f aca="true" t="shared" si="179" ref="L249:Z249">L226+L244+L138</f>
        <v>19.563139727845005</v>
      </c>
      <c r="M249" s="41">
        <f t="shared" si="179"/>
        <v>25.38535146271249</v>
      </c>
      <c r="N249" s="41">
        <f t="shared" si="179"/>
        <v>31.415202908862646</v>
      </c>
      <c r="O249" s="41">
        <f t="shared" si="179"/>
        <v>38.59383949268863</v>
      </c>
      <c r="P249" s="41">
        <f t="shared" si="179"/>
        <v>46.0297120943973</v>
      </c>
      <c r="Q249" s="41">
        <f t="shared" si="179"/>
        <v>54.675818985242216</v>
      </c>
      <c r="R249" s="41">
        <f t="shared" si="179"/>
        <v>62.962250455266194</v>
      </c>
      <c r="S249" s="41">
        <f t="shared" si="179"/>
        <v>66.99407967941275</v>
      </c>
      <c r="T249" s="41">
        <f t="shared" si="179"/>
        <v>60.50919170696109</v>
      </c>
      <c r="U249" s="41">
        <f t="shared" si="179"/>
        <v>36.83423759114821</v>
      </c>
      <c r="V249" s="41">
        <f t="shared" si="179"/>
        <v>-5.126797956896397</v>
      </c>
      <c r="W249" s="41">
        <f t="shared" si="179"/>
        <v>-51.972941706389115</v>
      </c>
      <c r="X249" s="41">
        <f t="shared" si="179"/>
        <v>-85.10259780438736</v>
      </c>
      <c r="Y249" s="41">
        <f t="shared" si="179"/>
        <v>-100.4096292140857</v>
      </c>
      <c r="Z249" s="41">
        <f t="shared" si="179"/>
        <v>-154.8760433857071</v>
      </c>
      <c r="AA249" s="41"/>
      <c r="FZ249" s="41"/>
    </row>
    <row r="250" spans="1:182" ht="13.5" customHeight="1">
      <c r="A250" s="103" t="s">
        <v>254</v>
      </c>
      <c r="B250" s="41">
        <f>B227+B245+B139+$D$7*$F$13</f>
        <v>87.57125022074469</v>
      </c>
      <c r="C250" s="41">
        <f aca="true" t="shared" si="180" ref="C250:K250">C227+C245+C139+$D$7*$F$13</f>
        <v>68.74773098230418</v>
      </c>
      <c r="D250" s="41">
        <f t="shared" si="180"/>
        <v>53.94582108145157</v>
      </c>
      <c r="E250" s="41">
        <f t="shared" si="180"/>
        <v>42.867250660473815</v>
      </c>
      <c r="F250" s="41">
        <f t="shared" si="180"/>
        <v>33.45321277680806</v>
      </c>
      <c r="G250" s="41">
        <f t="shared" si="180"/>
        <v>21.88647829384832</v>
      </c>
      <c r="H250" s="41">
        <f t="shared" si="180"/>
        <v>0.9922320915706706</v>
      </c>
      <c r="I250" s="41">
        <f t="shared" si="180"/>
        <v>-49.94217476574599</v>
      </c>
      <c r="J250" s="41">
        <f t="shared" si="180"/>
        <v>-323.36148315775154</v>
      </c>
      <c r="K250" s="41">
        <f t="shared" si="180"/>
        <v>323.24072951046753</v>
      </c>
      <c r="L250" s="41">
        <f aca="true" t="shared" si="181" ref="L250:Z250">L227+L245+L139+$D$7*$F$13</f>
        <v>118.1581335716683</v>
      </c>
      <c r="M250" s="41">
        <f t="shared" si="181"/>
        <v>46.20959534265342</v>
      </c>
      <c r="N250" s="41">
        <f t="shared" si="181"/>
        <v>20.643252501089368</v>
      </c>
      <c r="O250" s="41">
        <f t="shared" si="181"/>
        <v>74.96349101914642</v>
      </c>
      <c r="P250" s="41">
        <f t="shared" si="181"/>
        <v>76.11760249195078</v>
      </c>
      <c r="Q250" s="41">
        <f t="shared" si="181"/>
        <v>31.43193170422397</v>
      </c>
      <c r="R250" s="41">
        <f t="shared" si="181"/>
        <v>29.28856175530074</v>
      </c>
      <c r="S250" s="41">
        <f t="shared" si="181"/>
        <v>153.3805535177843</v>
      </c>
      <c r="T250" s="41">
        <f t="shared" si="181"/>
        <v>428.6690859299052</v>
      </c>
      <c r="U250" s="41">
        <f t="shared" si="181"/>
        <v>916.5149870523658</v>
      </c>
      <c r="V250" s="41">
        <f t="shared" si="181"/>
        <v>-632.7061250252187</v>
      </c>
      <c r="W250" s="41">
        <f t="shared" si="181"/>
        <v>137.90336956500042</v>
      </c>
      <c r="X250" s="41">
        <f t="shared" si="181"/>
        <v>179.43387437172572</v>
      </c>
      <c r="Y250" s="41">
        <f t="shared" si="181"/>
        <v>149.80823725302108</v>
      </c>
      <c r="Z250" s="41">
        <f t="shared" si="181"/>
        <v>145.05634511329313</v>
      </c>
      <c r="AA250" s="41"/>
      <c r="FZ250" s="41"/>
    </row>
    <row r="251" spans="1:182" ht="13.5" customHeight="1">
      <c r="A251" s="103" t="s">
        <v>251</v>
      </c>
      <c r="B251" s="41">
        <f>B140-B226*(B69-B35)-B244*(B101-B35)+B227*(B68-B34)+B245*(B100-B34)+(B139+$D$7*$F$13)*(B76-B34)-B138*(B77-B35)</f>
        <v>1161.9449864189128</v>
      </c>
      <c r="C251" s="41">
        <f aca="true" t="shared" si="182" ref="C251:K251">C140-C226*(C69-C35)-C244*(C101-C35)+C227*(C68-C34)+C245*(C100-C34)+(C139+$D$7*$F$13)*(C76-C34)-C138*(C77-C35)</f>
        <v>981.6924141925799</v>
      </c>
      <c r="D251" s="41">
        <f t="shared" si="182"/>
        <v>815.3054425042925</v>
      </c>
      <c r="E251" s="41">
        <f t="shared" si="182"/>
        <v>679.549595800038</v>
      </c>
      <c r="F251" s="41">
        <f t="shared" si="182"/>
        <v>566.2994038524214</v>
      </c>
      <c r="G251" s="41">
        <f t="shared" si="182"/>
        <v>428.1882704390094</v>
      </c>
      <c r="H251" s="41">
        <f t="shared" si="182"/>
        <v>142.9785191692992</v>
      </c>
      <c r="I251" s="41">
        <f t="shared" si="182"/>
        <v>-661.9878847906056</v>
      </c>
      <c r="J251" s="41">
        <f t="shared" si="182"/>
        <v>-5303.456476283406</v>
      </c>
      <c r="K251" s="41">
        <f t="shared" si="182"/>
        <v>5684.036653988935</v>
      </c>
      <c r="L251" s="41">
        <f aca="true" t="shared" si="183" ref="L251:Z251">L140-L226*(L69-L35)-L244*(L101-L35)+L227*(L68-L34)+L245*(L100-L34)+(L139+$D$7*$F$13)*(L76-L34)-L138*(L77-L35)</f>
        <v>2034.1072427924996</v>
      </c>
      <c r="M251" s="41">
        <f t="shared" si="183"/>
        <v>551.8500300140894</v>
      </c>
      <c r="N251" s="41">
        <f t="shared" si="183"/>
        <v>-130.9198957613695</v>
      </c>
      <c r="O251" s="41">
        <f t="shared" si="183"/>
        <v>706.1558072953206</v>
      </c>
      <c r="P251" s="41">
        <f t="shared" si="183"/>
        <v>415.2898198369688</v>
      </c>
      <c r="Q251" s="41">
        <f t="shared" si="183"/>
        <v>-744.1470114023043</v>
      </c>
      <c r="R251" s="41">
        <f t="shared" si="183"/>
        <v>-1084.3702555127563</v>
      </c>
      <c r="S251" s="41">
        <f t="shared" si="183"/>
        <v>436.9362546090275</v>
      </c>
      <c r="T251" s="41">
        <f t="shared" si="183"/>
        <v>3376.9884785955583</v>
      </c>
      <c r="U251" s="41">
        <f t="shared" si="183"/>
        <v>7430.028905430316</v>
      </c>
      <c r="V251" s="41">
        <f t="shared" si="183"/>
        <v>-5156.448340783567</v>
      </c>
      <c r="W251" s="41">
        <f t="shared" si="183"/>
        <v>1316.6556194129391</v>
      </c>
      <c r="X251" s="41">
        <f t="shared" si="183"/>
        <v>2113.6501568522335</v>
      </c>
      <c r="Y251" s="41">
        <f t="shared" si="183"/>
        <v>2220.169547126915</v>
      </c>
      <c r="Z251" s="41">
        <f t="shared" si="183"/>
        <v>2141.5848161099384</v>
      </c>
      <c r="AA251" s="41"/>
      <c r="FZ251" s="41"/>
    </row>
    <row r="252" spans="1:182" ht="13.5" customHeight="1">
      <c r="A252" s="103" t="s">
        <v>252</v>
      </c>
      <c r="B252" s="41">
        <f>B249*B36+B250*B37</f>
        <v>625.258726576117</v>
      </c>
      <c r="C252" s="41">
        <f aca="true" t="shared" si="184" ref="C252:K252">C249*C36+C250*C37</f>
        <v>540.7454959311494</v>
      </c>
      <c r="D252" s="41">
        <f t="shared" si="184"/>
        <v>446.5136078085369</v>
      </c>
      <c r="E252" s="41">
        <f t="shared" si="184"/>
        <v>349.5901763990724</v>
      </c>
      <c r="F252" s="41">
        <f t="shared" si="184"/>
        <v>245.04190132726643</v>
      </c>
      <c r="G252" s="41">
        <f t="shared" si="184"/>
        <v>133.63723713031322</v>
      </c>
      <c r="H252" s="41">
        <f t="shared" si="184"/>
        <v>44.88127945170811</v>
      </c>
      <c r="I252" s="41">
        <f t="shared" si="184"/>
        <v>90.95295116055698</v>
      </c>
      <c r="J252" s="41">
        <f t="shared" si="184"/>
        <v>1187.8447306096116</v>
      </c>
      <c r="K252" s="41">
        <f t="shared" si="184"/>
        <v>-1857.1119373029821</v>
      </c>
      <c r="L252" s="41">
        <f aca="true" t="shared" si="185" ref="L252:Z252">L249*L36+L250*L37</f>
        <v>-891.5224711574923</v>
      </c>
      <c r="M252" s="41">
        <f t="shared" si="185"/>
        <v>-415.9637021430204</v>
      </c>
      <c r="N252" s="41">
        <f t="shared" si="185"/>
        <v>-171.50564561228745</v>
      </c>
      <c r="O252" s="41">
        <f t="shared" si="185"/>
        <v>-530.8992420912197</v>
      </c>
      <c r="P252" s="41">
        <f t="shared" si="185"/>
        <v>-373.87623398512756</v>
      </c>
      <c r="Q252" s="41">
        <f t="shared" si="185"/>
        <v>146.83435496435843</v>
      </c>
      <c r="R252" s="41">
        <f t="shared" si="185"/>
        <v>365.46413583613764</v>
      </c>
      <c r="S252" s="41">
        <f t="shared" si="185"/>
        <v>235.18999656111288</v>
      </c>
      <c r="T252" s="41">
        <f t="shared" si="185"/>
        <v>583.9211160046509</v>
      </c>
      <c r="U252" s="41">
        <f t="shared" si="185"/>
        <v>2702.161839673858</v>
      </c>
      <c r="V252" s="41">
        <f t="shared" si="185"/>
        <v>-3261.9515407309236</v>
      </c>
      <c r="W252" s="41">
        <f t="shared" si="185"/>
        <v>634.2258397130958</v>
      </c>
      <c r="X252" s="41">
        <f t="shared" si="185"/>
        <v>1208.9439935809276</v>
      </c>
      <c r="Y252" s="41">
        <f t="shared" si="185"/>
        <v>1305.2566745579638</v>
      </c>
      <c r="Z252" s="41">
        <f t="shared" si="185"/>
        <v>1636.428958013488</v>
      </c>
      <c r="AA252" s="41"/>
      <c r="FZ252" s="41"/>
    </row>
    <row r="253" spans="1:182" ht="13.5" customHeight="1">
      <c r="A253" s="103" t="s">
        <v>225</v>
      </c>
      <c r="B253" s="41">
        <f>B251*B60</f>
        <v>-366.3330076136823</v>
      </c>
      <c r="C253" s="41">
        <f aca="true" t="shared" si="186" ref="C253:K253">C251*C60</f>
        <v>-228.7579663331118</v>
      </c>
      <c r="D253" s="41">
        <f t="shared" si="186"/>
        <v>-127.41642843939647</v>
      </c>
      <c r="E253" s="41">
        <f t="shared" si="186"/>
        <v>-57.93238042336485</v>
      </c>
      <c r="F253" s="41">
        <f t="shared" si="186"/>
        <v>-10.171213914155919</v>
      </c>
      <c r="G253" s="41">
        <f t="shared" si="186"/>
        <v>20.453662383841394</v>
      </c>
      <c r="H253" s="41">
        <f t="shared" si="186"/>
        <v>16.20014824384263</v>
      </c>
      <c r="I253" s="41">
        <f t="shared" si="186"/>
        <v>-118.27244458466414</v>
      </c>
      <c r="J253" s="41">
        <f t="shared" si="186"/>
        <v>-1285.0039021485984</v>
      </c>
      <c r="K253" s="41">
        <f t="shared" si="186"/>
        <v>1712.5311136175549</v>
      </c>
      <c r="L253" s="41">
        <f aca="true" t="shared" si="187" ref="L253:Z253">L251*L60</f>
        <v>715.7013275318509</v>
      </c>
      <c r="M253" s="41">
        <f t="shared" si="187"/>
        <v>215.1220382369095</v>
      </c>
      <c r="N253" s="41">
        <f t="shared" si="187"/>
        <v>-53.78402725938799</v>
      </c>
      <c r="O253" s="41">
        <f t="shared" si="187"/>
        <v>289.4780520822173</v>
      </c>
      <c r="P253" s="41">
        <f t="shared" si="187"/>
        <v>158.2766187537868</v>
      </c>
      <c r="Q253" s="41">
        <f t="shared" si="187"/>
        <v>-235.6305724880485</v>
      </c>
      <c r="R253" s="41">
        <f t="shared" si="187"/>
        <v>-224.99307948242978</v>
      </c>
      <c r="S253" s="41">
        <f t="shared" si="187"/>
        <v>20.33584088374617</v>
      </c>
      <c r="T253" s="41">
        <f t="shared" si="187"/>
        <v>-549.264261724664</v>
      </c>
      <c r="U253" s="41">
        <f t="shared" si="187"/>
        <v>-2914.01299115317</v>
      </c>
      <c r="V253" s="41">
        <f t="shared" si="187"/>
        <v>3021.7654051523923</v>
      </c>
      <c r="W253" s="41">
        <f t="shared" si="187"/>
        <v>-906.4663884621243</v>
      </c>
      <c r="X253" s="41">
        <f t="shared" si="187"/>
        <v>-1450.5188692447853</v>
      </c>
      <c r="Y253" s="41">
        <f t="shared" si="187"/>
        <v>-1353.5099625744776</v>
      </c>
      <c r="Z253" s="41">
        <f t="shared" si="187"/>
        <v>-1066.8122105246243</v>
      </c>
      <c r="AA253" s="41"/>
      <c r="FZ253" s="41"/>
    </row>
    <row r="254" spans="1:182" ht="13.5" customHeight="1">
      <c r="A254" s="103" t="s">
        <v>226</v>
      </c>
      <c r="B254" s="41">
        <f>B252+B253</f>
        <v>258.92571896243476</v>
      </c>
      <c r="C254" s="41">
        <f aca="true" t="shared" si="188" ref="C254:K254">C252+C253</f>
        <v>311.98752959803767</v>
      </c>
      <c r="D254" s="41">
        <f t="shared" si="188"/>
        <v>319.09717936914046</v>
      </c>
      <c r="E254" s="41">
        <f t="shared" si="188"/>
        <v>291.65779597570753</v>
      </c>
      <c r="F254" s="41">
        <f t="shared" si="188"/>
        <v>234.87068741311052</v>
      </c>
      <c r="G254" s="41">
        <f t="shared" si="188"/>
        <v>154.09089951415461</v>
      </c>
      <c r="H254" s="41">
        <f t="shared" si="188"/>
        <v>61.081427695550744</v>
      </c>
      <c r="I254" s="41">
        <f t="shared" si="188"/>
        <v>-27.319493424107165</v>
      </c>
      <c r="J254" s="41">
        <f t="shared" si="188"/>
        <v>-97.15917153898681</v>
      </c>
      <c r="K254" s="41">
        <f t="shared" si="188"/>
        <v>-144.58082368542728</v>
      </c>
      <c r="L254" s="41">
        <f aca="true" t="shared" si="189" ref="L254:Z254">L252+L253</f>
        <v>-175.8211436256414</v>
      </c>
      <c r="M254" s="41">
        <f t="shared" si="189"/>
        <v>-200.84166390611088</v>
      </c>
      <c r="N254" s="41">
        <f t="shared" si="189"/>
        <v>-225.28967287167544</v>
      </c>
      <c r="O254" s="41">
        <f t="shared" si="189"/>
        <v>-241.42119000900237</v>
      </c>
      <c r="P254" s="41">
        <f t="shared" si="189"/>
        <v>-215.59961523134075</v>
      </c>
      <c r="Q254" s="41">
        <f t="shared" si="189"/>
        <v>-88.79621752369007</v>
      </c>
      <c r="R254" s="41">
        <f t="shared" si="189"/>
        <v>140.47105635370787</v>
      </c>
      <c r="S254" s="41">
        <f t="shared" si="189"/>
        <v>255.52583744485904</v>
      </c>
      <c r="T254" s="41">
        <f t="shared" si="189"/>
        <v>34.656854279986874</v>
      </c>
      <c r="U254" s="41">
        <f t="shared" si="189"/>
        <v>-211.85115147931174</v>
      </c>
      <c r="V254" s="41">
        <f t="shared" si="189"/>
        <v>-240.18613557853132</v>
      </c>
      <c r="W254" s="41">
        <f t="shared" si="189"/>
        <v>-272.24054874902856</v>
      </c>
      <c r="X254" s="41">
        <f t="shared" si="189"/>
        <v>-241.5748756638577</v>
      </c>
      <c r="Y254" s="41">
        <f t="shared" si="189"/>
        <v>-48.25328801651381</v>
      </c>
      <c r="Z254" s="41">
        <f t="shared" si="189"/>
        <v>569.6167474888637</v>
      </c>
      <c r="AA254" s="41"/>
      <c r="FZ254" s="41"/>
    </row>
    <row r="255" spans="1:182" ht="13.5" customHeight="1">
      <c r="A255" s="103" t="s">
        <v>214</v>
      </c>
      <c r="B255" s="41">
        <f>B208+B151+B171+B143</f>
        <v>258.92571896243464</v>
      </c>
      <c r="C255" s="41">
        <f aca="true" t="shared" si="190" ref="C255:K255">C208+C151+C171+C143</f>
        <v>311.98752959803755</v>
      </c>
      <c r="D255" s="41">
        <f t="shared" si="190"/>
        <v>319.09717936914035</v>
      </c>
      <c r="E255" s="41">
        <f t="shared" si="190"/>
        <v>291.6577959757076</v>
      </c>
      <c r="F255" s="41">
        <f t="shared" si="190"/>
        <v>234.87068741311046</v>
      </c>
      <c r="G255" s="41">
        <f t="shared" si="190"/>
        <v>154.09089951415461</v>
      </c>
      <c r="H255" s="41">
        <f t="shared" si="190"/>
        <v>61.081427695550744</v>
      </c>
      <c r="I255" s="41">
        <f t="shared" si="190"/>
        <v>-27.319493424107158</v>
      </c>
      <c r="J255" s="41">
        <f t="shared" si="190"/>
        <v>-97.15917153898691</v>
      </c>
      <c r="K255" s="41">
        <f t="shared" si="190"/>
        <v>-144.58082368542748</v>
      </c>
      <c r="L255" s="41">
        <f aca="true" t="shared" si="191" ref="L255:Z255">L208+L151+L171+L143</f>
        <v>-175.82114362564124</v>
      </c>
      <c r="M255" s="41">
        <f t="shared" si="191"/>
        <v>-200.8416639061109</v>
      </c>
      <c r="N255" s="41">
        <f t="shared" si="191"/>
        <v>-225.2896728716754</v>
      </c>
      <c r="O255" s="41">
        <f t="shared" si="191"/>
        <v>-241.42119000900234</v>
      </c>
      <c r="P255" s="41">
        <f t="shared" si="191"/>
        <v>-215.59961523134075</v>
      </c>
      <c r="Q255" s="41">
        <f t="shared" si="191"/>
        <v>-88.79621752369</v>
      </c>
      <c r="R255" s="41">
        <f t="shared" si="191"/>
        <v>140.47105635370784</v>
      </c>
      <c r="S255" s="41">
        <f t="shared" si="191"/>
        <v>255.5258374448591</v>
      </c>
      <c r="T255" s="41">
        <f t="shared" si="191"/>
        <v>34.656854279987044</v>
      </c>
      <c r="U255" s="41">
        <f t="shared" si="191"/>
        <v>-211.85115147931197</v>
      </c>
      <c r="V255" s="41">
        <f t="shared" si="191"/>
        <v>-240.18613557853126</v>
      </c>
      <c r="W255" s="41">
        <f t="shared" si="191"/>
        <v>-272.24054874902845</v>
      </c>
      <c r="X255" s="41">
        <f t="shared" si="191"/>
        <v>-241.5748756638577</v>
      </c>
      <c r="Y255" s="41">
        <f t="shared" si="191"/>
        <v>-48.253288016513864</v>
      </c>
      <c r="Z255" s="41">
        <f t="shared" si="191"/>
        <v>490.53128665319355</v>
      </c>
      <c r="AA255" s="41"/>
      <c r="FZ255" s="41"/>
    </row>
    <row r="256" spans="1:26" s="142" customFormat="1" ht="13.5" customHeight="1" thickBot="1">
      <c r="A256" s="141" t="s">
        <v>227</v>
      </c>
      <c r="B256" s="142">
        <f>B254-B255</f>
        <v>0</v>
      </c>
      <c r="C256" s="142">
        <f aca="true" t="shared" si="192" ref="C256:K256">C254-C255</f>
        <v>0</v>
      </c>
      <c r="D256" s="142">
        <f t="shared" si="192"/>
        <v>0</v>
      </c>
      <c r="E256" s="142">
        <f t="shared" si="192"/>
        <v>0</v>
      </c>
      <c r="F256" s="142">
        <f t="shared" si="192"/>
        <v>0</v>
      </c>
      <c r="G256" s="142">
        <f t="shared" si="192"/>
        <v>0</v>
      </c>
      <c r="H256" s="142">
        <f t="shared" si="192"/>
        <v>0</v>
      </c>
      <c r="I256" s="142">
        <f t="shared" si="192"/>
        <v>0</v>
      </c>
      <c r="J256" s="142">
        <f t="shared" si="192"/>
        <v>0</v>
      </c>
      <c r="K256" s="142">
        <f t="shared" si="192"/>
        <v>0</v>
      </c>
      <c r="L256" s="142">
        <f aca="true" t="shared" si="193" ref="L256:Z256">L254-L255</f>
        <v>0</v>
      </c>
      <c r="M256" s="142">
        <f t="shared" si="193"/>
        <v>0</v>
      </c>
      <c r="N256" s="142">
        <f t="shared" si="193"/>
        <v>0</v>
      </c>
      <c r="O256" s="142">
        <f t="shared" si="193"/>
        <v>0</v>
      </c>
      <c r="P256" s="142">
        <f t="shared" si="193"/>
        <v>0</v>
      </c>
      <c r="Q256" s="142">
        <f t="shared" si="193"/>
        <v>0</v>
      </c>
      <c r="R256" s="142">
        <f t="shared" si="193"/>
        <v>0</v>
      </c>
      <c r="S256" s="142">
        <f t="shared" si="193"/>
        <v>0</v>
      </c>
      <c r="T256" s="142">
        <f t="shared" si="193"/>
        <v>-1.7053025658242404E-13</v>
      </c>
      <c r="U256" s="142">
        <f t="shared" si="193"/>
        <v>2.2737367544323206E-13</v>
      </c>
      <c r="V256" s="142">
        <f t="shared" si="193"/>
        <v>0</v>
      </c>
      <c r="W256" s="142">
        <f t="shared" si="193"/>
        <v>0</v>
      </c>
      <c r="X256" s="142">
        <f t="shared" si="193"/>
        <v>0</v>
      </c>
      <c r="Y256" s="142">
        <f t="shared" si="193"/>
        <v>5.684341886080802E-14</v>
      </c>
      <c r="Z256" s="142">
        <f t="shared" si="193"/>
        <v>79.08546083567012</v>
      </c>
    </row>
    <row r="257" spans="9:27" ht="13.5" customHeight="1"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112"/>
    </row>
    <row r="258" spans="9:27" ht="13.5" customHeight="1"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112"/>
    </row>
    <row r="259" spans="1:27" ht="13.5" customHeight="1" thickBot="1">
      <c r="A259" s="140" t="s">
        <v>224</v>
      </c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112"/>
    </row>
    <row r="260" spans="1:27" ht="13.5" customHeight="1">
      <c r="A260" s="110" t="s">
        <v>179</v>
      </c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112"/>
    </row>
    <row r="261" spans="1:182" ht="13.5" customHeight="1">
      <c r="A261" s="103" t="s">
        <v>247</v>
      </c>
      <c r="B261" s="41">
        <f aca="true" t="shared" si="194" ref="B261:Z261">B251*B71/((B68-B34)*B70+(B69-B35)*B71)</f>
        <v>-42.36295014864225</v>
      </c>
      <c r="C261" s="41">
        <f t="shared" si="194"/>
        <v>-32.796918867645545</v>
      </c>
      <c r="D261" s="41">
        <f t="shared" si="194"/>
        <v>-24.402296742711975</v>
      </c>
      <c r="E261" s="41">
        <f t="shared" si="194"/>
        <v>-17.854660312851017</v>
      </c>
      <c r="F261" s="41">
        <f t="shared" si="194"/>
        <v>-12.775832590313685</v>
      </c>
      <c r="G261" s="41">
        <f t="shared" si="194"/>
        <v>-8.077903421020173</v>
      </c>
      <c r="H261" s="41">
        <f t="shared" si="194"/>
        <v>-2.183833888946488</v>
      </c>
      <c r="I261" s="41">
        <f t="shared" si="194"/>
        <v>7.874850335457276</v>
      </c>
      <c r="J261" s="41">
        <f t="shared" si="194"/>
        <v>46.983823668547565</v>
      </c>
      <c r="K261" s="41">
        <f t="shared" si="194"/>
        <v>-35.72605367434079</v>
      </c>
      <c r="L261" s="41">
        <f t="shared" si="194"/>
        <v>-8.67322147340995</v>
      </c>
      <c r="M261" s="41">
        <f t="shared" si="194"/>
        <v>-1.5694780478022055</v>
      </c>
      <c r="N261" s="41">
        <f t="shared" si="194"/>
        <v>0.2684698246007819</v>
      </c>
      <c r="O261" s="41">
        <f t="shared" si="194"/>
        <v>-1.3539472365767018</v>
      </c>
      <c r="P261" s="41">
        <f t="shared" si="194"/>
        <v>-1.048912680520286</v>
      </c>
      <c r="Q261" s="41">
        <f t="shared" si="194"/>
        <v>3.0078555229645687</v>
      </c>
      <c r="R261" s="41">
        <f t="shared" si="194"/>
        <v>7.305085492631</v>
      </c>
      <c r="S261" s="41">
        <f t="shared" si="194"/>
        <v>-4.781390099933439</v>
      </c>
      <c r="T261" s="41">
        <f t="shared" si="194"/>
        <v>-56.91785345576612</v>
      </c>
      <c r="U261" s="41">
        <f t="shared" si="194"/>
        <v>-178.95436984503579</v>
      </c>
      <c r="V261" s="41">
        <f t="shared" si="194"/>
        <v>161.30201995836387</v>
      </c>
      <c r="W261" s="41">
        <f t="shared" si="194"/>
        <v>-48.1722170956435</v>
      </c>
      <c r="X261" s="41">
        <f t="shared" si="194"/>
        <v>-82.28189719172747</v>
      </c>
      <c r="Y261" s="41">
        <f t="shared" si="194"/>
        <v>-85.64577205722581</v>
      </c>
      <c r="Z261" s="41">
        <f t="shared" si="194"/>
        <v>-78.07929967800219</v>
      </c>
      <c r="AA261" s="41"/>
      <c r="FZ261" s="41"/>
    </row>
    <row r="262" spans="1:182" ht="13.5" customHeight="1">
      <c r="A262" s="103" t="s">
        <v>248</v>
      </c>
      <c r="B262" s="41">
        <f aca="true" t="shared" si="195" ref="B262:Z262">-B251*B70/((B68-B34)*B70+(B69-B35)*B71)</f>
        <v>-51.307143923484915</v>
      </c>
      <c r="C262" s="41">
        <f t="shared" si="195"/>
        <v>-41.95704988892144</v>
      </c>
      <c r="D262" s="41">
        <f t="shared" si="195"/>
        <v>-34.64100376331365</v>
      </c>
      <c r="E262" s="41">
        <f t="shared" si="195"/>
        <v>-29.23985716560144</v>
      </c>
      <c r="F262" s="41">
        <f t="shared" si="195"/>
        <v>-24.933466193962822</v>
      </c>
      <c r="G262" s="41">
        <f t="shared" si="195"/>
        <v>-19.360253783205145</v>
      </c>
      <c r="H262" s="41">
        <f t="shared" si="195"/>
        <v>-6.62871175144763</v>
      </c>
      <c r="I262" s="41">
        <f t="shared" si="195"/>
        <v>31.31719911402222</v>
      </c>
      <c r="J262" s="41">
        <f t="shared" si="195"/>
        <v>254.4185321632951</v>
      </c>
      <c r="K262" s="41">
        <f t="shared" si="195"/>
        <v>-274.95917982198756</v>
      </c>
      <c r="L262" s="41">
        <f t="shared" si="195"/>
        <v>-98.91544054080653</v>
      </c>
      <c r="M262" s="41">
        <f t="shared" si="195"/>
        <v>-26.99521496765506</v>
      </c>
      <c r="N262" s="41">
        <f t="shared" si="195"/>
        <v>6.47370674753738</v>
      </c>
      <c r="O262" s="41">
        <f t="shared" si="195"/>
        <v>-35.59873758725135</v>
      </c>
      <c r="P262" s="41">
        <f t="shared" si="195"/>
        <v>-21.578823100782195</v>
      </c>
      <c r="Q262" s="41">
        <f t="shared" si="195"/>
        <v>40.30818941419484</v>
      </c>
      <c r="R262" s="41">
        <f t="shared" si="195"/>
        <v>61.759185564974416</v>
      </c>
      <c r="S262" s="41">
        <f t="shared" si="195"/>
        <v>-26.20083621905137</v>
      </c>
      <c r="T262" s="41">
        <f t="shared" si="195"/>
        <v>-210.74030111982867</v>
      </c>
      <c r="U262" s="41">
        <f t="shared" si="195"/>
        <v>-468.7482885380675</v>
      </c>
      <c r="V262" s="41">
        <f t="shared" si="195"/>
        <v>314.96102838996813</v>
      </c>
      <c r="W262" s="41">
        <f t="shared" si="195"/>
        <v>-74.64372593694702</v>
      </c>
      <c r="X262" s="41">
        <f t="shared" si="195"/>
        <v>-108.83130784579896</v>
      </c>
      <c r="Y262" s="41">
        <f t="shared" si="195"/>
        <v>-104.49839413544895</v>
      </c>
      <c r="Z262" s="41">
        <f t="shared" si="195"/>
        <v>-94.5643741044452</v>
      </c>
      <c r="AA262" s="41"/>
      <c r="FZ262" s="41"/>
    </row>
    <row r="263" spans="1:182" ht="13.5" customHeight="1">
      <c r="A263" s="103" t="s">
        <v>183</v>
      </c>
      <c r="B263" s="41">
        <f aca="true" t="shared" si="196" ref="B263:Z263">B261*B36+B262*B37-B251*B60</f>
        <v>0</v>
      </c>
      <c r="C263" s="41">
        <f t="shared" si="196"/>
        <v>0</v>
      </c>
      <c r="D263" s="41">
        <f t="shared" si="196"/>
        <v>0</v>
      </c>
      <c r="E263" s="41">
        <f t="shared" si="196"/>
        <v>0</v>
      </c>
      <c r="F263" s="41">
        <f t="shared" si="196"/>
        <v>0</v>
      </c>
      <c r="G263" s="41">
        <f t="shared" si="196"/>
        <v>0</v>
      </c>
      <c r="H263" s="41">
        <f t="shared" si="196"/>
        <v>0</v>
      </c>
      <c r="I263" s="41">
        <f t="shared" si="196"/>
        <v>0</v>
      </c>
      <c r="J263" s="41">
        <f t="shared" si="196"/>
        <v>0</v>
      </c>
      <c r="K263" s="41">
        <f t="shared" si="196"/>
        <v>0</v>
      </c>
      <c r="L263" s="41">
        <f t="shared" si="196"/>
        <v>0</v>
      </c>
      <c r="M263" s="41">
        <f t="shared" si="196"/>
        <v>0</v>
      </c>
      <c r="N263" s="41">
        <f t="shared" si="196"/>
        <v>0</v>
      </c>
      <c r="O263" s="41">
        <f t="shared" si="196"/>
        <v>0</v>
      </c>
      <c r="P263" s="41">
        <f t="shared" si="196"/>
        <v>0</v>
      </c>
      <c r="Q263" s="41">
        <f t="shared" si="196"/>
        <v>0</v>
      </c>
      <c r="R263" s="41">
        <f t="shared" si="196"/>
        <v>0</v>
      </c>
      <c r="S263" s="41">
        <f t="shared" si="196"/>
        <v>0</v>
      </c>
      <c r="T263" s="41">
        <f t="shared" si="196"/>
        <v>0</v>
      </c>
      <c r="U263" s="41">
        <f t="shared" si="196"/>
        <v>0</v>
      </c>
      <c r="V263" s="41">
        <f t="shared" si="196"/>
        <v>0</v>
      </c>
      <c r="W263" s="41">
        <f t="shared" si="196"/>
        <v>0</v>
      </c>
      <c r="X263" s="41">
        <f t="shared" si="196"/>
        <v>0</v>
      </c>
      <c r="Y263" s="41">
        <f t="shared" si="196"/>
        <v>0</v>
      </c>
      <c r="Z263" s="41">
        <f t="shared" si="196"/>
        <v>0</v>
      </c>
      <c r="AA263" s="41"/>
      <c r="FZ263" s="41"/>
    </row>
    <row r="264" spans="1:182" ht="13.5" customHeight="1">
      <c r="A264" s="26" t="s">
        <v>242</v>
      </c>
      <c r="B264" s="41">
        <f aca="true" t="shared" si="197" ref="B264:Z264">B249+B261</f>
        <v>-76.72850168486787</v>
      </c>
      <c r="C264" s="41">
        <f t="shared" si="197"/>
        <v>-68.84316282702247</v>
      </c>
      <c r="D264" s="41">
        <f t="shared" si="197"/>
        <v>-55.71264595339394</v>
      </c>
      <c r="E264" s="41">
        <f t="shared" si="197"/>
        <v>-43.6908350425402</v>
      </c>
      <c r="F264" s="41">
        <f t="shared" si="197"/>
        <v>-32.4783908972472</v>
      </c>
      <c r="G264" s="41">
        <f t="shared" si="197"/>
        <v>-21.09792644381634</v>
      </c>
      <c r="H264" s="41">
        <f t="shared" si="197"/>
        <v>-8.233979700616501</v>
      </c>
      <c r="I264" s="41">
        <f t="shared" si="197"/>
        <v>8.747856997643673</v>
      </c>
      <c r="J264" s="41">
        <f t="shared" si="197"/>
        <v>54.46292987396545</v>
      </c>
      <c r="K264" s="41">
        <f t="shared" si="197"/>
        <v>-22.051879109875845</v>
      </c>
      <c r="L264" s="41">
        <f t="shared" si="197"/>
        <v>10.889918254435056</v>
      </c>
      <c r="M264" s="41">
        <f t="shared" si="197"/>
        <v>23.815873414910282</v>
      </c>
      <c r="N264" s="41">
        <f t="shared" si="197"/>
        <v>31.68367273346343</v>
      </c>
      <c r="O264" s="41">
        <f t="shared" si="197"/>
        <v>37.23989225611193</v>
      </c>
      <c r="P264" s="41">
        <f t="shared" si="197"/>
        <v>44.98079941387701</v>
      </c>
      <c r="Q264" s="41">
        <f t="shared" si="197"/>
        <v>57.683674508206785</v>
      </c>
      <c r="R264" s="41">
        <f t="shared" si="197"/>
        <v>70.2673359478972</v>
      </c>
      <c r="S264" s="41">
        <f t="shared" si="197"/>
        <v>62.21268957947931</v>
      </c>
      <c r="T264" s="41">
        <f t="shared" si="197"/>
        <v>3.591338251194969</v>
      </c>
      <c r="U264" s="41">
        <f t="shared" si="197"/>
        <v>-142.12013225388756</v>
      </c>
      <c r="V264" s="41">
        <f t="shared" si="197"/>
        <v>156.1752220014675</v>
      </c>
      <c r="W264" s="41">
        <f t="shared" si="197"/>
        <v>-100.14515880203261</v>
      </c>
      <c r="X264" s="41">
        <f t="shared" si="197"/>
        <v>-167.38449499611482</v>
      </c>
      <c r="Y264" s="41">
        <f t="shared" si="197"/>
        <v>-186.0554012713115</v>
      </c>
      <c r="Z264" s="41">
        <f t="shared" si="197"/>
        <v>-232.95534306370928</v>
      </c>
      <c r="AA264" s="41"/>
      <c r="FZ264" s="41"/>
    </row>
    <row r="265" spans="1:182" ht="13.5" customHeight="1">
      <c r="A265" s="26" t="s">
        <v>243</v>
      </c>
      <c r="B265" s="41">
        <f aca="true" t="shared" si="198" ref="B265:Z265">B250+B262</f>
        <v>36.26410629725977</v>
      </c>
      <c r="C265" s="41">
        <f t="shared" si="198"/>
        <v>26.790681093382737</v>
      </c>
      <c r="D265" s="41">
        <f t="shared" si="198"/>
        <v>19.30481731813792</v>
      </c>
      <c r="E265" s="41">
        <f t="shared" si="198"/>
        <v>13.627393494872376</v>
      </c>
      <c r="F265" s="41">
        <f t="shared" si="198"/>
        <v>8.519746582845237</v>
      </c>
      <c r="G265" s="41">
        <f t="shared" si="198"/>
        <v>2.526224510643175</v>
      </c>
      <c r="H265" s="41">
        <f t="shared" si="198"/>
        <v>-5.63647965987696</v>
      </c>
      <c r="I265" s="41">
        <f t="shared" si="198"/>
        <v>-18.62497565172377</v>
      </c>
      <c r="J265" s="41">
        <f t="shared" si="198"/>
        <v>-68.94295099445642</v>
      </c>
      <c r="K265" s="41">
        <f t="shared" si="198"/>
        <v>48.28154968847997</v>
      </c>
      <c r="L265" s="41">
        <f t="shared" si="198"/>
        <v>19.242693030861773</v>
      </c>
      <c r="M265" s="41">
        <f t="shared" si="198"/>
        <v>19.214380374998363</v>
      </c>
      <c r="N265" s="41">
        <f t="shared" si="198"/>
        <v>27.11695924862675</v>
      </c>
      <c r="O265" s="41">
        <f t="shared" si="198"/>
        <v>39.36475343189507</v>
      </c>
      <c r="P265" s="41">
        <f t="shared" si="198"/>
        <v>54.53877939116858</v>
      </c>
      <c r="Q265" s="41">
        <f t="shared" si="198"/>
        <v>71.74012111841881</v>
      </c>
      <c r="R265" s="41">
        <f t="shared" si="198"/>
        <v>91.04774732027516</v>
      </c>
      <c r="S265" s="41">
        <f t="shared" si="198"/>
        <v>127.17971729873294</v>
      </c>
      <c r="T265" s="41">
        <f t="shared" si="198"/>
        <v>217.9287848100765</v>
      </c>
      <c r="U265" s="41">
        <f t="shared" si="198"/>
        <v>447.76669851429824</v>
      </c>
      <c r="V265" s="41">
        <f t="shared" si="198"/>
        <v>-317.7450966352506</v>
      </c>
      <c r="W265" s="41">
        <f t="shared" si="198"/>
        <v>63.2596436280534</v>
      </c>
      <c r="X265" s="41">
        <f t="shared" si="198"/>
        <v>70.60256652592676</v>
      </c>
      <c r="Y265" s="41">
        <f t="shared" si="198"/>
        <v>45.30984311757213</v>
      </c>
      <c r="Z265" s="41">
        <f t="shared" si="198"/>
        <v>50.491971008847926</v>
      </c>
      <c r="AA265" s="41"/>
      <c r="FZ265" s="41"/>
    </row>
    <row r="266" spans="1:182" ht="13.5" customHeight="1" thickBot="1">
      <c r="A266" s="111" t="s">
        <v>244</v>
      </c>
      <c r="B266" s="41">
        <f aca="true" t="shared" si="199" ref="B266:Z266">B264*B36+B265*B37</f>
        <v>258.92571896243476</v>
      </c>
      <c r="C266" s="41">
        <f t="shared" si="199"/>
        <v>311.98752959803767</v>
      </c>
      <c r="D266" s="41">
        <f t="shared" si="199"/>
        <v>319.0971793691404</v>
      </c>
      <c r="E266" s="41">
        <f t="shared" si="199"/>
        <v>291.6577959757076</v>
      </c>
      <c r="F266" s="41">
        <f t="shared" si="199"/>
        <v>234.87068741311052</v>
      </c>
      <c r="G266" s="41">
        <f t="shared" si="199"/>
        <v>154.09089951415461</v>
      </c>
      <c r="H266" s="41">
        <f t="shared" si="199"/>
        <v>61.081427695550744</v>
      </c>
      <c r="I266" s="41">
        <f t="shared" si="199"/>
        <v>-27.319493424107158</v>
      </c>
      <c r="J266" s="41">
        <f t="shared" si="199"/>
        <v>-97.15917153898675</v>
      </c>
      <c r="K266" s="41">
        <f t="shared" si="199"/>
        <v>-144.5808236854275</v>
      </c>
      <c r="L266" s="41">
        <f t="shared" si="199"/>
        <v>-175.82114362564135</v>
      </c>
      <c r="M266" s="41">
        <f t="shared" si="199"/>
        <v>-200.84166390611088</v>
      </c>
      <c r="N266" s="41">
        <f t="shared" si="199"/>
        <v>-225.28967287167544</v>
      </c>
      <c r="O266" s="41">
        <f t="shared" si="199"/>
        <v>-241.42119000900232</v>
      </c>
      <c r="P266" s="41">
        <f t="shared" si="199"/>
        <v>-215.59961523134078</v>
      </c>
      <c r="Q266" s="41">
        <f t="shared" si="199"/>
        <v>-88.79621752369007</v>
      </c>
      <c r="R266" s="41">
        <f t="shared" si="199"/>
        <v>140.47105635370787</v>
      </c>
      <c r="S266" s="41">
        <f t="shared" si="199"/>
        <v>255.525837444859</v>
      </c>
      <c r="T266" s="41">
        <f t="shared" si="199"/>
        <v>34.65685427998682</v>
      </c>
      <c r="U266" s="41">
        <f t="shared" si="199"/>
        <v>-211.8511514793115</v>
      </c>
      <c r="V266" s="41">
        <f t="shared" si="199"/>
        <v>-240.1861355785311</v>
      </c>
      <c r="W266" s="41">
        <f t="shared" si="199"/>
        <v>-272.24054874902845</v>
      </c>
      <c r="X266" s="41">
        <f t="shared" si="199"/>
        <v>-241.57487566385737</v>
      </c>
      <c r="Y266" s="41">
        <f t="shared" si="199"/>
        <v>-48.25328801651381</v>
      </c>
      <c r="Z266" s="41">
        <f t="shared" si="199"/>
        <v>569.6167474888639</v>
      </c>
      <c r="AA266" s="41"/>
      <c r="FZ266" s="41"/>
    </row>
    <row r="267" spans="1:182" ht="13.5" customHeight="1" thickBot="1">
      <c r="A267" s="104" t="s">
        <v>186</v>
      </c>
      <c r="B267" s="41">
        <f aca="true" t="shared" si="200" ref="B267:Z267">B266-B255</f>
        <v>0</v>
      </c>
      <c r="C267" s="41">
        <f t="shared" si="200"/>
        <v>0</v>
      </c>
      <c r="D267" s="41">
        <f t="shared" si="200"/>
        <v>0</v>
      </c>
      <c r="E267" s="41">
        <f t="shared" si="200"/>
        <v>0</v>
      </c>
      <c r="F267" s="41">
        <f t="shared" si="200"/>
        <v>0</v>
      </c>
      <c r="G267" s="41">
        <f t="shared" si="200"/>
        <v>0</v>
      </c>
      <c r="H267" s="41">
        <f t="shared" si="200"/>
        <v>0</v>
      </c>
      <c r="I267" s="41">
        <f t="shared" si="200"/>
        <v>0</v>
      </c>
      <c r="J267" s="41">
        <f t="shared" si="200"/>
        <v>1.5631940186722204E-13</v>
      </c>
      <c r="K267" s="41">
        <f t="shared" si="200"/>
        <v>0</v>
      </c>
      <c r="L267" s="41">
        <f t="shared" si="200"/>
        <v>0</v>
      </c>
      <c r="M267" s="41">
        <f t="shared" si="200"/>
        <v>0</v>
      </c>
      <c r="N267" s="41">
        <f t="shared" si="200"/>
        <v>0</v>
      </c>
      <c r="O267" s="41">
        <f t="shared" si="200"/>
        <v>0</v>
      </c>
      <c r="P267" s="41">
        <f t="shared" si="200"/>
        <v>0</v>
      </c>
      <c r="Q267" s="41">
        <f t="shared" si="200"/>
        <v>0</v>
      </c>
      <c r="R267" s="41">
        <f t="shared" si="200"/>
        <v>0</v>
      </c>
      <c r="S267" s="41">
        <f t="shared" si="200"/>
        <v>0</v>
      </c>
      <c r="T267" s="41">
        <f t="shared" si="200"/>
        <v>-2.2737367544323206E-13</v>
      </c>
      <c r="U267" s="41">
        <f t="shared" si="200"/>
        <v>4.547473508864641E-13</v>
      </c>
      <c r="V267" s="41">
        <f t="shared" si="200"/>
        <v>0</v>
      </c>
      <c r="W267" s="41">
        <f t="shared" si="200"/>
        <v>0</v>
      </c>
      <c r="X267" s="41">
        <f t="shared" si="200"/>
        <v>3.410605131648481E-13</v>
      </c>
      <c r="Y267" s="41">
        <f t="shared" si="200"/>
        <v>5.684341886080802E-14</v>
      </c>
      <c r="Z267" s="41">
        <f t="shared" si="200"/>
        <v>79.08546083567035</v>
      </c>
      <c r="AA267" s="41"/>
      <c r="FZ267" s="41"/>
    </row>
    <row r="268" spans="27:182" ht="13.5" customHeight="1">
      <c r="AA268" s="41"/>
      <c r="FZ268" s="41"/>
    </row>
    <row r="269" spans="1:182" ht="13.5" customHeight="1">
      <c r="A269" s="116" t="s">
        <v>229</v>
      </c>
      <c r="B269" s="41">
        <f aca="true" t="shared" si="201" ref="B269:Z269">B226-B261</f>
        <v>22.95081176034512</v>
      </c>
      <c r="C269" s="41">
        <f t="shared" si="201"/>
        <v>17.102990028005912</v>
      </c>
      <c r="D269" s="41">
        <f t="shared" si="201"/>
        <v>12.128348782677953</v>
      </c>
      <c r="E269" s="41">
        <f t="shared" si="201"/>
        <v>8.978188547500762</v>
      </c>
      <c r="F269" s="41">
        <f t="shared" si="201"/>
        <v>7.452549531314916</v>
      </c>
      <c r="G269" s="41">
        <f t="shared" si="201"/>
        <v>6.435947981156012</v>
      </c>
      <c r="H269" s="41">
        <f t="shared" si="201"/>
        <v>4.153800510683357</v>
      </c>
      <c r="I269" s="41">
        <f t="shared" si="201"/>
        <v>-2.6415570492944456</v>
      </c>
      <c r="J269" s="41">
        <f t="shared" si="201"/>
        <v>-39.07688895260283</v>
      </c>
      <c r="K269" s="41">
        <f t="shared" si="201"/>
        <v>45.62995202809879</v>
      </c>
      <c r="L269" s="41">
        <f t="shared" si="201"/>
        <v>20.019850347576202</v>
      </c>
      <c r="M269" s="41">
        <f t="shared" si="201"/>
        <v>14.10514677907804</v>
      </c>
      <c r="N269" s="41">
        <f t="shared" si="201"/>
        <v>13.599555460767082</v>
      </c>
      <c r="O269" s="41">
        <f t="shared" si="201"/>
        <v>17.113270222694364</v>
      </c>
      <c r="P269" s="41">
        <f t="shared" si="201"/>
        <v>19.620509774715245</v>
      </c>
      <c r="Q269" s="41">
        <f t="shared" si="201"/>
        <v>19.44833989239509</v>
      </c>
      <c r="R269" s="41">
        <f t="shared" si="201"/>
        <v>19.600309401614002</v>
      </c>
      <c r="S269" s="41">
        <f t="shared" si="201"/>
        <v>34.54855689492254</v>
      </c>
      <c r="T269" s="41">
        <f t="shared" si="201"/>
        <v>83.07317287688385</v>
      </c>
      <c r="U269" s="41">
        <f t="shared" si="201"/>
        <v>189.15137410003254</v>
      </c>
      <c r="V269" s="41">
        <f t="shared" si="201"/>
        <v>-178.22166796558585</v>
      </c>
      <c r="W269" s="41">
        <f t="shared" si="201"/>
        <v>5.977807542585445</v>
      </c>
      <c r="X269" s="41">
        <f t="shared" si="201"/>
        <v>28.207786244499687</v>
      </c>
      <c r="Y269" s="41">
        <f t="shared" si="201"/>
        <v>31.612090390141567</v>
      </c>
      <c r="Z269" s="41">
        <f t="shared" si="201"/>
        <v>29.1123318839229</v>
      </c>
      <c r="AA269" s="41"/>
      <c r="FZ269" s="41"/>
    </row>
    <row r="270" spans="1:182" ht="13.5" customHeight="1">
      <c r="A270" s="116" t="s">
        <v>230</v>
      </c>
      <c r="B270" s="41">
        <f aca="true" t="shared" si="202" ref="B270:Z270">B227-B262</f>
        <v>80.10114391810546</v>
      </c>
      <c r="C270" s="41">
        <f t="shared" si="202"/>
        <v>65.95129989137106</v>
      </c>
      <c r="D270" s="41">
        <f t="shared" si="202"/>
        <v>53.560996320878225</v>
      </c>
      <c r="E270" s="41">
        <f t="shared" si="202"/>
        <v>43.814414663005735</v>
      </c>
      <c r="F270" s="41">
        <f t="shared" si="202"/>
        <v>36.29086918401963</v>
      </c>
      <c r="G270" s="41">
        <f t="shared" si="202"/>
        <v>28.72487565187313</v>
      </c>
      <c r="H270" s="41">
        <f t="shared" si="202"/>
        <v>15.133888285952024</v>
      </c>
      <c r="I270" s="41">
        <f t="shared" si="202"/>
        <v>-22.791319134751376</v>
      </c>
      <c r="J270" s="41">
        <f t="shared" si="202"/>
        <v>-245.38992308671155</v>
      </c>
      <c r="K270" s="41">
        <f t="shared" si="202"/>
        <v>284.4751827276559</v>
      </c>
      <c r="L270" s="41">
        <f t="shared" si="202"/>
        <v>108.3657500881734</v>
      </c>
      <c r="M270" s="41">
        <f t="shared" si="202"/>
        <v>35.359472041166455</v>
      </c>
      <c r="N270" s="41">
        <f t="shared" si="202"/>
        <v>-0.005568405554565281</v>
      </c>
      <c r="O270" s="41">
        <f t="shared" si="202"/>
        <v>41.39695070447627</v>
      </c>
      <c r="P270" s="41">
        <f t="shared" si="202"/>
        <v>28.95069575705265</v>
      </c>
      <c r="Q270" s="41">
        <f t="shared" si="202"/>
        <v>-31.87653858988753</v>
      </c>
      <c r="R270" s="41">
        <f t="shared" si="202"/>
        <v>-54.84090312952702</v>
      </c>
      <c r="S270" s="41">
        <f t="shared" si="202"/>
        <v>28.501602147158213</v>
      </c>
      <c r="T270" s="41">
        <f t="shared" si="202"/>
        <v>206.60256590637934</v>
      </c>
      <c r="U270" s="41">
        <f t="shared" si="202"/>
        <v>461.82413816260015</v>
      </c>
      <c r="V270" s="41">
        <f t="shared" si="202"/>
        <v>-312.72303328117306</v>
      </c>
      <c r="W270" s="41">
        <f t="shared" si="202"/>
        <v>98.20475790042414</v>
      </c>
      <c r="X270" s="41">
        <f t="shared" si="202"/>
        <v>153.26470420064607</v>
      </c>
      <c r="Y270" s="41">
        <f t="shared" si="202"/>
        <v>158.170030184445</v>
      </c>
      <c r="Z270" s="41">
        <f t="shared" si="202"/>
        <v>145.34991512312314</v>
      </c>
      <c r="AA270" s="41"/>
      <c r="FZ270" s="41"/>
    </row>
    <row r="271" spans="1:182" ht="13.5" customHeight="1" thickBot="1">
      <c r="A271" s="104" t="s">
        <v>186</v>
      </c>
      <c r="B271" s="41">
        <f aca="true" t="shared" si="203" ref="B271:Z271">B269*B70+B270*B71-B219</f>
        <v>0</v>
      </c>
      <c r="C271" s="41">
        <f t="shared" si="203"/>
        <v>0</v>
      </c>
      <c r="D271" s="41">
        <f t="shared" si="203"/>
        <v>0</v>
      </c>
      <c r="E271" s="41">
        <f t="shared" si="203"/>
        <v>0</v>
      </c>
      <c r="F271" s="41">
        <f t="shared" si="203"/>
        <v>0</v>
      </c>
      <c r="G271" s="41">
        <f t="shared" si="203"/>
        <v>0</v>
      </c>
      <c r="H271" s="41">
        <f t="shared" si="203"/>
        <v>0</v>
      </c>
      <c r="I271" s="41">
        <f t="shared" si="203"/>
        <v>0</v>
      </c>
      <c r="J271" s="41">
        <f t="shared" si="203"/>
        <v>0</v>
      </c>
      <c r="K271" s="41">
        <f t="shared" si="203"/>
        <v>0</v>
      </c>
      <c r="L271" s="41">
        <f t="shared" si="203"/>
        <v>0</v>
      </c>
      <c r="M271" s="41">
        <f t="shared" si="203"/>
        <v>0</v>
      </c>
      <c r="N271" s="41">
        <f t="shared" si="203"/>
        <v>0</v>
      </c>
      <c r="O271" s="41">
        <f t="shared" si="203"/>
        <v>0</v>
      </c>
      <c r="P271" s="41">
        <f t="shared" si="203"/>
        <v>0</v>
      </c>
      <c r="Q271" s="41">
        <f t="shared" si="203"/>
        <v>0</v>
      </c>
      <c r="R271" s="41">
        <f t="shared" si="203"/>
        <v>0</v>
      </c>
      <c r="S271" s="41">
        <f t="shared" si="203"/>
        <v>0</v>
      </c>
      <c r="T271" s="41">
        <f t="shared" si="203"/>
        <v>0</v>
      </c>
      <c r="U271" s="41">
        <f t="shared" si="203"/>
        <v>-4.263256414560601E-13</v>
      </c>
      <c r="V271" s="41">
        <f t="shared" si="203"/>
        <v>0</v>
      </c>
      <c r="W271" s="41">
        <f t="shared" si="203"/>
        <v>0</v>
      </c>
      <c r="X271" s="41">
        <f t="shared" si="203"/>
        <v>0</v>
      </c>
      <c r="Y271" s="41">
        <f t="shared" si="203"/>
        <v>0</v>
      </c>
      <c r="Z271" s="41">
        <f t="shared" si="203"/>
        <v>0</v>
      </c>
      <c r="AA271" s="41"/>
      <c r="FZ271" s="41"/>
    </row>
    <row r="272" spans="9:27" ht="13.5" customHeight="1"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112"/>
    </row>
    <row r="273" spans="1:27" ht="13.5" customHeight="1" thickBot="1">
      <c r="A273" s="140" t="s">
        <v>231</v>
      </c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112"/>
    </row>
    <row r="274" spans="1:27" ht="13.5" customHeight="1">
      <c r="A274" s="110" t="s">
        <v>179</v>
      </c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112"/>
    </row>
    <row r="275" spans="1:256" ht="13.5" customHeight="1">
      <c r="A275" s="103" t="s">
        <v>249</v>
      </c>
      <c r="B275" s="41">
        <f aca="true" t="shared" si="204" ref="B275:Z275">B251*B243/((B100-B34)*B242+(B101-B35)*B243)</f>
        <v>-1385.8801588385597</v>
      </c>
      <c r="C275" s="41">
        <f t="shared" si="204"/>
        <v>-312.0454878186351</v>
      </c>
      <c r="D275" s="41">
        <f t="shared" si="204"/>
        <v>-127.06841091757194</v>
      </c>
      <c r="E275" s="41">
        <f t="shared" si="204"/>
        <v>-58.740326481607404</v>
      </c>
      <c r="F275" s="41">
        <f t="shared" si="204"/>
        <v>-28.194665173100184</v>
      </c>
      <c r="G275" s="41">
        <f t="shared" si="204"/>
        <v>-12.182752749423281</v>
      </c>
      <c r="H275" s="41">
        <f t="shared" si="204"/>
        <v>-2.183833888946488</v>
      </c>
      <c r="I275" s="41">
        <f t="shared" si="204"/>
        <v>4.557007260602253</v>
      </c>
      <c r="J275" s="41">
        <f t="shared" si="204"/>
        <v>8.369694029342558</v>
      </c>
      <c r="K275" s="41">
        <f t="shared" si="204"/>
        <v>8.972890933235277</v>
      </c>
      <c r="L275" s="41">
        <f t="shared" si="204"/>
        <v>6.539330417357693</v>
      </c>
      <c r="M275" s="41">
        <f t="shared" si="204"/>
        <v>2.22769996921856</v>
      </c>
      <c r="N275" s="41">
        <f t="shared" si="204"/>
        <v>-0.8571742210900032</v>
      </c>
      <c r="O275" s="41">
        <f t="shared" si="204"/>
        <v>-16.370974191349124</v>
      </c>
      <c r="P275" s="41">
        <f t="shared" si="204"/>
        <v>-3.8964325913587046</v>
      </c>
      <c r="Q275" s="41">
        <f t="shared" si="204"/>
        <v>8.118179776781776</v>
      </c>
      <c r="R275" s="41">
        <f t="shared" si="204"/>
        <v>14.864390461309236</v>
      </c>
      <c r="S275" s="41">
        <f t="shared" si="204"/>
        <v>-7.125296789672121</v>
      </c>
      <c r="T275" s="41">
        <f t="shared" si="204"/>
        <v>-56.917853455766135</v>
      </c>
      <c r="U275" s="41">
        <f t="shared" si="204"/>
        <v>-83.8798853920623</v>
      </c>
      <c r="V275" s="41">
        <f t="shared" si="204"/>
        <v>-47.07280341331789</v>
      </c>
      <c r="W275" s="41">
        <f t="shared" si="204"/>
        <v>82.21813964336938</v>
      </c>
      <c r="X275" s="41">
        <f t="shared" si="204"/>
        <v>412.5937145671125</v>
      </c>
      <c r="Y275" s="41">
        <f t="shared" si="204"/>
        <v>1593.9229213413885</v>
      </c>
      <c r="Z275" s="41">
        <f t="shared" si="204"/>
        <v>-2554.3205055378285</v>
      </c>
      <c r="AA275" s="41"/>
      <c r="FZ275" s="41"/>
      <c r="GB275" s="41" t="e">
        <f aca="true" t="shared" si="205" ref="GB275:GL275">GB251*GB243/((GB100-GB34)*GB242+(GB101-GB35)*GB243)</f>
        <v>#DIV/0!</v>
      </c>
      <c r="GC275" s="41" t="e">
        <f t="shared" si="205"/>
        <v>#DIV/0!</v>
      </c>
      <c r="GD275" s="41" t="e">
        <f t="shared" si="205"/>
        <v>#DIV/0!</v>
      </c>
      <c r="GE275" s="41" t="e">
        <f t="shared" si="205"/>
        <v>#DIV/0!</v>
      </c>
      <c r="GF275" s="41" t="e">
        <f t="shared" si="205"/>
        <v>#DIV/0!</v>
      </c>
      <c r="GG275" s="41" t="e">
        <f t="shared" si="205"/>
        <v>#DIV/0!</v>
      </c>
      <c r="GH275" s="41" t="e">
        <f t="shared" si="205"/>
        <v>#DIV/0!</v>
      </c>
      <c r="GI275" s="41" t="e">
        <f t="shared" si="205"/>
        <v>#DIV/0!</v>
      </c>
      <c r="GJ275" s="41" t="e">
        <f t="shared" si="205"/>
        <v>#DIV/0!</v>
      </c>
      <c r="GK275" s="41" t="e">
        <f t="shared" si="205"/>
        <v>#DIV/0!</v>
      </c>
      <c r="GL275" s="41" t="e">
        <f t="shared" si="205"/>
        <v>#DIV/0!</v>
      </c>
      <c r="GM275" s="41" t="e">
        <f aca="true" t="shared" si="206" ref="GM275:IV275">GM251*GM243/((GM100-GM34)*GM242+(GM101-GM35)*GM243)</f>
        <v>#DIV/0!</v>
      </c>
      <c r="GN275" s="41" t="e">
        <f t="shared" si="206"/>
        <v>#DIV/0!</v>
      </c>
      <c r="GO275" s="41" t="e">
        <f t="shared" si="206"/>
        <v>#DIV/0!</v>
      </c>
      <c r="GP275" s="41" t="e">
        <f t="shared" si="206"/>
        <v>#DIV/0!</v>
      </c>
      <c r="GQ275" s="41" t="e">
        <f t="shared" si="206"/>
        <v>#DIV/0!</v>
      </c>
      <c r="GR275" s="41" t="e">
        <f t="shared" si="206"/>
        <v>#DIV/0!</v>
      </c>
      <c r="GS275" s="41" t="e">
        <f t="shared" si="206"/>
        <v>#DIV/0!</v>
      </c>
      <c r="GT275" s="41" t="e">
        <f t="shared" si="206"/>
        <v>#DIV/0!</v>
      </c>
      <c r="GU275" s="41" t="e">
        <f t="shared" si="206"/>
        <v>#DIV/0!</v>
      </c>
      <c r="GV275" s="41" t="e">
        <f t="shared" si="206"/>
        <v>#DIV/0!</v>
      </c>
      <c r="GW275" s="41" t="e">
        <f t="shared" si="206"/>
        <v>#DIV/0!</v>
      </c>
      <c r="GX275" s="41" t="e">
        <f t="shared" si="206"/>
        <v>#DIV/0!</v>
      </c>
      <c r="GY275" s="41" t="e">
        <f t="shared" si="206"/>
        <v>#DIV/0!</v>
      </c>
      <c r="GZ275" s="41" t="e">
        <f t="shared" si="206"/>
        <v>#DIV/0!</v>
      </c>
      <c r="HA275" s="41" t="e">
        <f t="shared" si="206"/>
        <v>#DIV/0!</v>
      </c>
      <c r="HB275" s="41" t="e">
        <f t="shared" si="206"/>
        <v>#DIV/0!</v>
      </c>
      <c r="HC275" s="41" t="e">
        <f t="shared" si="206"/>
        <v>#DIV/0!</v>
      </c>
      <c r="HD275" s="41" t="e">
        <f t="shared" si="206"/>
        <v>#DIV/0!</v>
      </c>
      <c r="HE275" s="41" t="e">
        <f t="shared" si="206"/>
        <v>#DIV/0!</v>
      </c>
      <c r="HF275" s="41" t="e">
        <f t="shared" si="206"/>
        <v>#DIV/0!</v>
      </c>
      <c r="HG275" s="41" t="e">
        <f t="shared" si="206"/>
        <v>#DIV/0!</v>
      </c>
      <c r="HH275" s="41" t="e">
        <f t="shared" si="206"/>
        <v>#DIV/0!</v>
      </c>
      <c r="HI275" s="41" t="e">
        <f t="shared" si="206"/>
        <v>#DIV/0!</v>
      </c>
      <c r="HJ275" s="41" t="e">
        <f t="shared" si="206"/>
        <v>#DIV/0!</v>
      </c>
      <c r="HK275" s="41" t="e">
        <f t="shared" si="206"/>
        <v>#DIV/0!</v>
      </c>
      <c r="HL275" s="41" t="e">
        <f t="shared" si="206"/>
        <v>#DIV/0!</v>
      </c>
      <c r="HM275" s="41" t="e">
        <f t="shared" si="206"/>
        <v>#DIV/0!</v>
      </c>
      <c r="HN275" s="41" t="e">
        <f t="shared" si="206"/>
        <v>#DIV/0!</v>
      </c>
      <c r="HO275" s="41" t="e">
        <f t="shared" si="206"/>
        <v>#DIV/0!</v>
      </c>
      <c r="HP275" s="41" t="e">
        <f t="shared" si="206"/>
        <v>#DIV/0!</v>
      </c>
      <c r="HQ275" s="41" t="e">
        <f t="shared" si="206"/>
        <v>#DIV/0!</v>
      </c>
      <c r="HR275" s="41" t="e">
        <f t="shared" si="206"/>
        <v>#DIV/0!</v>
      </c>
      <c r="HS275" s="41" t="e">
        <f t="shared" si="206"/>
        <v>#DIV/0!</v>
      </c>
      <c r="HT275" s="41" t="e">
        <f t="shared" si="206"/>
        <v>#DIV/0!</v>
      </c>
      <c r="HU275" s="41" t="e">
        <f t="shared" si="206"/>
        <v>#DIV/0!</v>
      </c>
      <c r="HV275" s="41" t="e">
        <f t="shared" si="206"/>
        <v>#DIV/0!</v>
      </c>
      <c r="HW275" s="41" t="e">
        <f t="shared" si="206"/>
        <v>#DIV/0!</v>
      </c>
      <c r="HX275" s="41" t="e">
        <f t="shared" si="206"/>
        <v>#DIV/0!</v>
      </c>
      <c r="HY275" s="41" t="e">
        <f t="shared" si="206"/>
        <v>#DIV/0!</v>
      </c>
      <c r="HZ275" s="41" t="e">
        <f t="shared" si="206"/>
        <v>#DIV/0!</v>
      </c>
      <c r="IA275" s="41" t="e">
        <f t="shared" si="206"/>
        <v>#DIV/0!</v>
      </c>
      <c r="IB275" s="41" t="e">
        <f t="shared" si="206"/>
        <v>#DIV/0!</v>
      </c>
      <c r="IC275" s="41" t="e">
        <f t="shared" si="206"/>
        <v>#DIV/0!</v>
      </c>
      <c r="ID275" s="41" t="e">
        <f t="shared" si="206"/>
        <v>#DIV/0!</v>
      </c>
      <c r="IE275" s="41" t="e">
        <f t="shared" si="206"/>
        <v>#DIV/0!</v>
      </c>
      <c r="IF275" s="41" t="e">
        <f t="shared" si="206"/>
        <v>#DIV/0!</v>
      </c>
      <c r="IG275" s="41" t="e">
        <f t="shared" si="206"/>
        <v>#DIV/0!</v>
      </c>
      <c r="IH275" s="41" t="e">
        <f t="shared" si="206"/>
        <v>#DIV/0!</v>
      </c>
      <c r="II275" s="41" t="e">
        <f t="shared" si="206"/>
        <v>#DIV/0!</v>
      </c>
      <c r="IJ275" s="41" t="e">
        <f t="shared" si="206"/>
        <v>#DIV/0!</v>
      </c>
      <c r="IK275" s="41" t="e">
        <f t="shared" si="206"/>
        <v>#DIV/0!</v>
      </c>
      <c r="IL275" s="41" t="e">
        <f t="shared" si="206"/>
        <v>#DIV/0!</v>
      </c>
      <c r="IM275" s="41" t="e">
        <f t="shared" si="206"/>
        <v>#DIV/0!</v>
      </c>
      <c r="IN275" s="41" t="e">
        <f t="shared" si="206"/>
        <v>#DIV/0!</v>
      </c>
      <c r="IO275" s="41" t="e">
        <f t="shared" si="206"/>
        <v>#DIV/0!</v>
      </c>
      <c r="IP275" s="41" t="e">
        <f t="shared" si="206"/>
        <v>#DIV/0!</v>
      </c>
      <c r="IQ275" s="41" t="e">
        <f t="shared" si="206"/>
        <v>#DIV/0!</v>
      </c>
      <c r="IR275" s="41" t="e">
        <f t="shared" si="206"/>
        <v>#DIV/0!</v>
      </c>
      <c r="IS275" s="41" t="e">
        <f t="shared" si="206"/>
        <v>#DIV/0!</v>
      </c>
      <c r="IT275" s="41" t="e">
        <f t="shared" si="206"/>
        <v>#DIV/0!</v>
      </c>
      <c r="IU275" s="41" t="e">
        <f t="shared" si="206"/>
        <v>#DIV/0!</v>
      </c>
      <c r="IV275" s="41" t="e">
        <f t="shared" si="206"/>
        <v>#DIV/0!</v>
      </c>
    </row>
    <row r="276" spans="1:256" ht="13.5" customHeight="1">
      <c r="A276" s="103" t="s">
        <v>250</v>
      </c>
      <c r="B276" s="41">
        <f aca="true" t="shared" si="207" ref="B276:Z276">-B251*B242/((B100-B34)*B242+(B101-B35)*B243)</f>
        <v>-51.307143923484915</v>
      </c>
      <c r="C276" s="41">
        <f t="shared" si="207"/>
        <v>-116.78147842688576</v>
      </c>
      <c r="D276" s="41">
        <f t="shared" si="207"/>
        <v>-93.91531241882188</v>
      </c>
      <c r="E276" s="41">
        <f t="shared" si="207"/>
        <v>-70.12552333435782</v>
      </c>
      <c r="F276" s="41">
        <f t="shared" si="207"/>
        <v>-51.63966762074749</v>
      </c>
      <c r="G276" s="41">
        <f t="shared" si="207"/>
        <v>-34.67976003422053</v>
      </c>
      <c r="H276" s="41">
        <f t="shared" si="207"/>
        <v>-10.395739332102023</v>
      </c>
      <c r="I276" s="41">
        <f t="shared" si="207"/>
        <v>43.69955804092171</v>
      </c>
      <c r="J276" s="41">
        <f t="shared" si="207"/>
        <v>321.3001665884495</v>
      </c>
      <c r="K276" s="41">
        <f t="shared" si="207"/>
        <v>-319.65812442956354</v>
      </c>
      <c r="L276" s="41">
        <f t="shared" si="207"/>
        <v>-107.69841147000237</v>
      </c>
      <c r="M276" s="41">
        <f t="shared" si="207"/>
        <v>-28.012665750832983</v>
      </c>
      <c r="N276" s="41">
        <f t="shared" si="207"/>
        <v>6.47370674753738</v>
      </c>
      <c r="O276" s="41">
        <f t="shared" si="207"/>
        <v>-39.62253783249903</v>
      </c>
      <c r="P276" s="41">
        <f t="shared" si="207"/>
        <v>-23.222839487827578</v>
      </c>
      <c r="Q276" s="41">
        <f t="shared" si="207"/>
        <v>45.418513668012054</v>
      </c>
      <c r="R276" s="41">
        <f t="shared" si="207"/>
        <v>74.85228584063297</v>
      </c>
      <c r="S276" s="41">
        <f t="shared" si="207"/>
        <v>-34.94841507335671</v>
      </c>
      <c r="T276" s="41">
        <f t="shared" si="207"/>
        <v>-317.2185100903481</v>
      </c>
      <c r="U276" s="41">
        <f t="shared" si="207"/>
        <v>-823.5710950199825</v>
      </c>
      <c r="V276" s="41">
        <f t="shared" si="207"/>
        <v>675.8768094879117</v>
      </c>
      <c r="W276" s="41">
        <f t="shared" si="207"/>
        <v>-205.03408267595995</v>
      </c>
      <c r="X276" s="41">
        <f t="shared" si="207"/>
        <v>-394.5478755101463</v>
      </c>
      <c r="Y276" s="41">
        <f t="shared" si="207"/>
        <v>-554.5374691642033</v>
      </c>
      <c r="Z276" s="41">
        <f t="shared" si="207"/>
        <v>-94.56437410444458</v>
      </c>
      <c r="AA276" s="41"/>
      <c r="FZ276" s="41"/>
      <c r="GB276" s="41" t="e">
        <f aca="true" t="shared" si="208" ref="GB276:GL276">-GB251*GB242/((GB100-GB34)*GB242+(GB101-GB35)*GB243)</f>
        <v>#DIV/0!</v>
      </c>
      <c r="GC276" s="41" t="e">
        <f t="shared" si="208"/>
        <v>#DIV/0!</v>
      </c>
      <c r="GD276" s="41" t="e">
        <f t="shared" si="208"/>
        <v>#DIV/0!</v>
      </c>
      <c r="GE276" s="41" t="e">
        <f t="shared" si="208"/>
        <v>#DIV/0!</v>
      </c>
      <c r="GF276" s="41" t="e">
        <f t="shared" si="208"/>
        <v>#DIV/0!</v>
      </c>
      <c r="GG276" s="41" t="e">
        <f t="shared" si="208"/>
        <v>#DIV/0!</v>
      </c>
      <c r="GH276" s="41" t="e">
        <f t="shared" si="208"/>
        <v>#DIV/0!</v>
      </c>
      <c r="GI276" s="41" t="e">
        <f t="shared" si="208"/>
        <v>#DIV/0!</v>
      </c>
      <c r="GJ276" s="41" t="e">
        <f t="shared" si="208"/>
        <v>#DIV/0!</v>
      </c>
      <c r="GK276" s="41" t="e">
        <f t="shared" si="208"/>
        <v>#DIV/0!</v>
      </c>
      <c r="GL276" s="41" t="e">
        <f t="shared" si="208"/>
        <v>#DIV/0!</v>
      </c>
      <c r="GM276" s="41" t="e">
        <f aca="true" t="shared" si="209" ref="GM276:IV276">-GM251*GM242/((GM100-GM34)*GM242+(GM101-GM35)*GM243)</f>
        <v>#DIV/0!</v>
      </c>
      <c r="GN276" s="41" t="e">
        <f t="shared" si="209"/>
        <v>#DIV/0!</v>
      </c>
      <c r="GO276" s="41" t="e">
        <f t="shared" si="209"/>
        <v>#DIV/0!</v>
      </c>
      <c r="GP276" s="41" t="e">
        <f t="shared" si="209"/>
        <v>#DIV/0!</v>
      </c>
      <c r="GQ276" s="41" t="e">
        <f t="shared" si="209"/>
        <v>#DIV/0!</v>
      </c>
      <c r="GR276" s="41" t="e">
        <f t="shared" si="209"/>
        <v>#DIV/0!</v>
      </c>
      <c r="GS276" s="41" t="e">
        <f t="shared" si="209"/>
        <v>#DIV/0!</v>
      </c>
      <c r="GT276" s="41" t="e">
        <f t="shared" si="209"/>
        <v>#DIV/0!</v>
      </c>
      <c r="GU276" s="41" t="e">
        <f t="shared" si="209"/>
        <v>#DIV/0!</v>
      </c>
      <c r="GV276" s="41" t="e">
        <f t="shared" si="209"/>
        <v>#DIV/0!</v>
      </c>
      <c r="GW276" s="41" t="e">
        <f t="shared" si="209"/>
        <v>#DIV/0!</v>
      </c>
      <c r="GX276" s="41" t="e">
        <f t="shared" si="209"/>
        <v>#DIV/0!</v>
      </c>
      <c r="GY276" s="41" t="e">
        <f t="shared" si="209"/>
        <v>#DIV/0!</v>
      </c>
      <c r="GZ276" s="41" t="e">
        <f t="shared" si="209"/>
        <v>#DIV/0!</v>
      </c>
      <c r="HA276" s="41" t="e">
        <f t="shared" si="209"/>
        <v>#DIV/0!</v>
      </c>
      <c r="HB276" s="41" t="e">
        <f t="shared" si="209"/>
        <v>#DIV/0!</v>
      </c>
      <c r="HC276" s="41" t="e">
        <f t="shared" si="209"/>
        <v>#DIV/0!</v>
      </c>
      <c r="HD276" s="41" t="e">
        <f t="shared" si="209"/>
        <v>#DIV/0!</v>
      </c>
      <c r="HE276" s="41" t="e">
        <f t="shared" si="209"/>
        <v>#DIV/0!</v>
      </c>
      <c r="HF276" s="41" t="e">
        <f t="shared" si="209"/>
        <v>#DIV/0!</v>
      </c>
      <c r="HG276" s="41" t="e">
        <f t="shared" si="209"/>
        <v>#DIV/0!</v>
      </c>
      <c r="HH276" s="41" t="e">
        <f t="shared" si="209"/>
        <v>#DIV/0!</v>
      </c>
      <c r="HI276" s="41" t="e">
        <f t="shared" si="209"/>
        <v>#DIV/0!</v>
      </c>
      <c r="HJ276" s="41" t="e">
        <f t="shared" si="209"/>
        <v>#DIV/0!</v>
      </c>
      <c r="HK276" s="41" t="e">
        <f t="shared" si="209"/>
        <v>#DIV/0!</v>
      </c>
      <c r="HL276" s="41" t="e">
        <f t="shared" si="209"/>
        <v>#DIV/0!</v>
      </c>
      <c r="HM276" s="41" t="e">
        <f t="shared" si="209"/>
        <v>#DIV/0!</v>
      </c>
      <c r="HN276" s="41" t="e">
        <f t="shared" si="209"/>
        <v>#DIV/0!</v>
      </c>
      <c r="HO276" s="41" t="e">
        <f t="shared" si="209"/>
        <v>#DIV/0!</v>
      </c>
      <c r="HP276" s="41" t="e">
        <f t="shared" si="209"/>
        <v>#DIV/0!</v>
      </c>
      <c r="HQ276" s="41" t="e">
        <f t="shared" si="209"/>
        <v>#DIV/0!</v>
      </c>
      <c r="HR276" s="41" t="e">
        <f t="shared" si="209"/>
        <v>#DIV/0!</v>
      </c>
      <c r="HS276" s="41" t="e">
        <f t="shared" si="209"/>
        <v>#DIV/0!</v>
      </c>
      <c r="HT276" s="41" t="e">
        <f t="shared" si="209"/>
        <v>#DIV/0!</v>
      </c>
      <c r="HU276" s="41" t="e">
        <f t="shared" si="209"/>
        <v>#DIV/0!</v>
      </c>
      <c r="HV276" s="41" t="e">
        <f t="shared" si="209"/>
        <v>#DIV/0!</v>
      </c>
      <c r="HW276" s="41" t="e">
        <f t="shared" si="209"/>
        <v>#DIV/0!</v>
      </c>
      <c r="HX276" s="41" t="e">
        <f t="shared" si="209"/>
        <v>#DIV/0!</v>
      </c>
      <c r="HY276" s="41" t="e">
        <f t="shared" si="209"/>
        <v>#DIV/0!</v>
      </c>
      <c r="HZ276" s="41" t="e">
        <f t="shared" si="209"/>
        <v>#DIV/0!</v>
      </c>
      <c r="IA276" s="41" t="e">
        <f t="shared" si="209"/>
        <v>#DIV/0!</v>
      </c>
      <c r="IB276" s="41" t="e">
        <f t="shared" si="209"/>
        <v>#DIV/0!</v>
      </c>
      <c r="IC276" s="41" t="e">
        <f t="shared" si="209"/>
        <v>#DIV/0!</v>
      </c>
      <c r="ID276" s="41" t="e">
        <f t="shared" si="209"/>
        <v>#DIV/0!</v>
      </c>
      <c r="IE276" s="41" t="e">
        <f t="shared" si="209"/>
        <v>#DIV/0!</v>
      </c>
      <c r="IF276" s="41" t="e">
        <f t="shared" si="209"/>
        <v>#DIV/0!</v>
      </c>
      <c r="IG276" s="41" t="e">
        <f t="shared" si="209"/>
        <v>#DIV/0!</v>
      </c>
      <c r="IH276" s="41" t="e">
        <f t="shared" si="209"/>
        <v>#DIV/0!</v>
      </c>
      <c r="II276" s="41" t="e">
        <f t="shared" si="209"/>
        <v>#DIV/0!</v>
      </c>
      <c r="IJ276" s="41" t="e">
        <f t="shared" si="209"/>
        <v>#DIV/0!</v>
      </c>
      <c r="IK276" s="41" t="e">
        <f t="shared" si="209"/>
        <v>#DIV/0!</v>
      </c>
      <c r="IL276" s="41" t="e">
        <f t="shared" si="209"/>
        <v>#DIV/0!</v>
      </c>
      <c r="IM276" s="41" t="e">
        <f t="shared" si="209"/>
        <v>#DIV/0!</v>
      </c>
      <c r="IN276" s="41" t="e">
        <f t="shared" si="209"/>
        <v>#DIV/0!</v>
      </c>
      <c r="IO276" s="41" t="e">
        <f t="shared" si="209"/>
        <v>#DIV/0!</v>
      </c>
      <c r="IP276" s="41" t="e">
        <f t="shared" si="209"/>
        <v>#DIV/0!</v>
      </c>
      <c r="IQ276" s="41" t="e">
        <f t="shared" si="209"/>
        <v>#DIV/0!</v>
      </c>
      <c r="IR276" s="41" t="e">
        <f t="shared" si="209"/>
        <v>#DIV/0!</v>
      </c>
      <c r="IS276" s="41" t="e">
        <f t="shared" si="209"/>
        <v>#DIV/0!</v>
      </c>
      <c r="IT276" s="41" t="e">
        <f t="shared" si="209"/>
        <v>#DIV/0!</v>
      </c>
      <c r="IU276" s="41" t="e">
        <f t="shared" si="209"/>
        <v>#DIV/0!</v>
      </c>
      <c r="IV276" s="41" t="e">
        <f t="shared" si="209"/>
        <v>#DIV/0!</v>
      </c>
    </row>
    <row r="277" spans="1:256" ht="13.5" customHeight="1">
      <c r="A277" s="103" t="s">
        <v>183</v>
      </c>
      <c r="B277" s="41">
        <f aca="true" t="shared" si="210" ref="B277:Z277">B275*B36+B276*B37-B251*B60</f>
        <v>0</v>
      </c>
      <c r="C277" s="41">
        <f t="shared" si="210"/>
        <v>0</v>
      </c>
      <c r="D277" s="41">
        <f t="shared" si="210"/>
        <v>0</v>
      </c>
      <c r="E277" s="41">
        <f t="shared" si="210"/>
        <v>0</v>
      </c>
      <c r="F277" s="41">
        <f t="shared" si="210"/>
        <v>0</v>
      </c>
      <c r="G277" s="41">
        <f t="shared" si="210"/>
        <v>0</v>
      </c>
      <c r="H277" s="41">
        <f t="shared" si="210"/>
        <v>0</v>
      </c>
      <c r="I277" s="41">
        <f t="shared" si="210"/>
        <v>0</v>
      </c>
      <c r="J277" s="41">
        <f t="shared" si="210"/>
        <v>0</v>
      </c>
      <c r="K277" s="41">
        <f t="shared" si="210"/>
        <v>0</v>
      </c>
      <c r="L277" s="41">
        <f t="shared" si="210"/>
        <v>0</v>
      </c>
      <c r="M277" s="41">
        <f t="shared" si="210"/>
        <v>0</v>
      </c>
      <c r="N277" s="41">
        <f t="shared" si="210"/>
        <v>0</v>
      </c>
      <c r="O277" s="41">
        <f t="shared" si="210"/>
        <v>0</v>
      </c>
      <c r="P277" s="41">
        <f t="shared" si="210"/>
        <v>0</v>
      </c>
      <c r="Q277" s="41">
        <f t="shared" si="210"/>
        <v>0</v>
      </c>
      <c r="R277" s="41">
        <f t="shared" si="210"/>
        <v>0</v>
      </c>
      <c r="S277" s="41">
        <f t="shared" si="210"/>
        <v>0</v>
      </c>
      <c r="T277" s="41">
        <f t="shared" si="210"/>
        <v>0</v>
      </c>
      <c r="U277" s="41">
        <f t="shared" si="210"/>
        <v>0</v>
      </c>
      <c r="V277" s="41">
        <f t="shared" si="210"/>
        <v>0</v>
      </c>
      <c r="W277" s="41">
        <f t="shared" si="210"/>
        <v>0</v>
      </c>
      <c r="X277" s="41">
        <f t="shared" si="210"/>
        <v>0</v>
      </c>
      <c r="Y277" s="41">
        <f t="shared" si="210"/>
        <v>0</v>
      </c>
      <c r="Z277" s="41">
        <f t="shared" si="210"/>
        <v>0</v>
      </c>
      <c r="AA277" s="41"/>
      <c r="FZ277" s="41"/>
      <c r="GB277" s="41" t="e">
        <f aca="true" t="shared" si="211" ref="GB277:GL277">GB275*GB36+GB276*GB37-GB251*GB60</f>
        <v>#DIV/0!</v>
      </c>
      <c r="GC277" s="41" t="e">
        <f t="shared" si="211"/>
        <v>#DIV/0!</v>
      </c>
      <c r="GD277" s="41" t="e">
        <f t="shared" si="211"/>
        <v>#DIV/0!</v>
      </c>
      <c r="GE277" s="41" t="e">
        <f t="shared" si="211"/>
        <v>#DIV/0!</v>
      </c>
      <c r="GF277" s="41" t="e">
        <f t="shared" si="211"/>
        <v>#DIV/0!</v>
      </c>
      <c r="GG277" s="41" t="e">
        <f t="shared" si="211"/>
        <v>#DIV/0!</v>
      </c>
      <c r="GH277" s="41" t="e">
        <f t="shared" si="211"/>
        <v>#DIV/0!</v>
      </c>
      <c r="GI277" s="41" t="e">
        <f t="shared" si="211"/>
        <v>#DIV/0!</v>
      </c>
      <c r="GJ277" s="41" t="e">
        <f t="shared" si="211"/>
        <v>#DIV/0!</v>
      </c>
      <c r="GK277" s="41" t="e">
        <f t="shared" si="211"/>
        <v>#DIV/0!</v>
      </c>
      <c r="GL277" s="41" t="e">
        <f t="shared" si="211"/>
        <v>#DIV/0!</v>
      </c>
      <c r="GM277" s="41" t="e">
        <f aca="true" t="shared" si="212" ref="GM277:IV277">GM275*GM36+GM276*GM37-GM251*GM60</f>
        <v>#DIV/0!</v>
      </c>
      <c r="GN277" s="41" t="e">
        <f t="shared" si="212"/>
        <v>#DIV/0!</v>
      </c>
      <c r="GO277" s="41" t="e">
        <f t="shared" si="212"/>
        <v>#DIV/0!</v>
      </c>
      <c r="GP277" s="41" t="e">
        <f t="shared" si="212"/>
        <v>#DIV/0!</v>
      </c>
      <c r="GQ277" s="41" t="e">
        <f t="shared" si="212"/>
        <v>#DIV/0!</v>
      </c>
      <c r="GR277" s="41" t="e">
        <f t="shared" si="212"/>
        <v>#DIV/0!</v>
      </c>
      <c r="GS277" s="41" t="e">
        <f t="shared" si="212"/>
        <v>#DIV/0!</v>
      </c>
      <c r="GT277" s="41" t="e">
        <f t="shared" si="212"/>
        <v>#DIV/0!</v>
      </c>
      <c r="GU277" s="41" t="e">
        <f t="shared" si="212"/>
        <v>#DIV/0!</v>
      </c>
      <c r="GV277" s="41" t="e">
        <f t="shared" si="212"/>
        <v>#DIV/0!</v>
      </c>
      <c r="GW277" s="41" t="e">
        <f t="shared" si="212"/>
        <v>#DIV/0!</v>
      </c>
      <c r="GX277" s="41" t="e">
        <f t="shared" si="212"/>
        <v>#DIV/0!</v>
      </c>
      <c r="GY277" s="41" t="e">
        <f t="shared" si="212"/>
        <v>#DIV/0!</v>
      </c>
      <c r="GZ277" s="41" t="e">
        <f t="shared" si="212"/>
        <v>#DIV/0!</v>
      </c>
      <c r="HA277" s="41" t="e">
        <f t="shared" si="212"/>
        <v>#DIV/0!</v>
      </c>
      <c r="HB277" s="41" t="e">
        <f t="shared" si="212"/>
        <v>#DIV/0!</v>
      </c>
      <c r="HC277" s="41" t="e">
        <f t="shared" si="212"/>
        <v>#DIV/0!</v>
      </c>
      <c r="HD277" s="41" t="e">
        <f t="shared" si="212"/>
        <v>#DIV/0!</v>
      </c>
      <c r="HE277" s="41" t="e">
        <f t="shared" si="212"/>
        <v>#DIV/0!</v>
      </c>
      <c r="HF277" s="41" t="e">
        <f t="shared" si="212"/>
        <v>#DIV/0!</v>
      </c>
      <c r="HG277" s="41" t="e">
        <f t="shared" si="212"/>
        <v>#DIV/0!</v>
      </c>
      <c r="HH277" s="41" t="e">
        <f t="shared" si="212"/>
        <v>#DIV/0!</v>
      </c>
      <c r="HI277" s="41" t="e">
        <f t="shared" si="212"/>
        <v>#DIV/0!</v>
      </c>
      <c r="HJ277" s="41" t="e">
        <f t="shared" si="212"/>
        <v>#DIV/0!</v>
      </c>
      <c r="HK277" s="41" t="e">
        <f t="shared" si="212"/>
        <v>#DIV/0!</v>
      </c>
      <c r="HL277" s="41" t="e">
        <f t="shared" si="212"/>
        <v>#DIV/0!</v>
      </c>
      <c r="HM277" s="41" t="e">
        <f t="shared" si="212"/>
        <v>#DIV/0!</v>
      </c>
      <c r="HN277" s="41" t="e">
        <f t="shared" si="212"/>
        <v>#DIV/0!</v>
      </c>
      <c r="HO277" s="41" t="e">
        <f t="shared" si="212"/>
        <v>#DIV/0!</v>
      </c>
      <c r="HP277" s="41" t="e">
        <f t="shared" si="212"/>
        <v>#DIV/0!</v>
      </c>
      <c r="HQ277" s="41" t="e">
        <f t="shared" si="212"/>
        <v>#DIV/0!</v>
      </c>
      <c r="HR277" s="41" t="e">
        <f t="shared" si="212"/>
        <v>#DIV/0!</v>
      </c>
      <c r="HS277" s="41" t="e">
        <f t="shared" si="212"/>
        <v>#DIV/0!</v>
      </c>
      <c r="HT277" s="41" t="e">
        <f t="shared" si="212"/>
        <v>#DIV/0!</v>
      </c>
      <c r="HU277" s="41" t="e">
        <f t="shared" si="212"/>
        <v>#DIV/0!</v>
      </c>
      <c r="HV277" s="41" t="e">
        <f t="shared" si="212"/>
        <v>#DIV/0!</v>
      </c>
      <c r="HW277" s="41" t="e">
        <f t="shared" si="212"/>
        <v>#DIV/0!</v>
      </c>
      <c r="HX277" s="41" t="e">
        <f t="shared" si="212"/>
        <v>#DIV/0!</v>
      </c>
      <c r="HY277" s="41" t="e">
        <f t="shared" si="212"/>
        <v>#DIV/0!</v>
      </c>
      <c r="HZ277" s="41" t="e">
        <f t="shared" si="212"/>
        <v>#DIV/0!</v>
      </c>
      <c r="IA277" s="41" t="e">
        <f t="shared" si="212"/>
        <v>#DIV/0!</v>
      </c>
      <c r="IB277" s="41" t="e">
        <f t="shared" si="212"/>
        <v>#DIV/0!</v>
      </c>
      <c r="IC277" s="41" t="e">
        <f t="shared" si="212"/>
        <v>#DIV/0!</v>
      </c>
      <c r="ID277" s="41" t="e">
        <f t="shared" si="212"/>
        <v>#DIV/0!</v>
      </c>
      <c r="IE277" s="41" t="e">
        <f t="shared" si="212"/>
        <v>#DIV/0!</v>
      </c>
      <c r="IF277" s="41" t="e">
        <f t="shared" si="212"/>
        <v>#DIV/0!</v>
      </c>
      <c r="IG277" s="41" t="e">
        <f t="shared" si="212"/>
        <v>#DIV/0!</v>
      </c>
      <c r="IH277" s="41" t="e">
        <f t="shared" si="212"/>
        <v>#DIV/0!</v>
      </c>
      <c r="II277" s="41" t="e">
        <f t="shared" si="212"/>
        <v>#DIV/0!</v>
      </c>
      <c r="IJ277" s="41" t="e">
        <f t="shared" si="212"/>
        <v>#DIV/0!</v>
      </c>
      <c r="IK277" s="41" t="e">
        <f t="shared" si="212"/>
        <v>#DIV/0!</v>
      </c>
      <c r="IL277" s="41" t="e">
        <f t="shared" si="212"/>
        <v>#DIV/0!</v>
      </c>
      <c r="IM277" s="41" t="e">
        <f t="shared" si="212"/>
        <v>#DIV/0!</v>
      </c>
      <c r="IN277" s="41" t="e">
        <f t="shared" si="212"/>
        <v>#DIV/0!</v>
      </c>
      <c r="IO277" s="41" t="e">
        <f t="shared" si="212"/>
        <v>#DIV/0!</v>
      </c>
      <c r="IP277" s="41" t="e">
        <f t="shared" si="212"/>
        <v>#DIV/0!</v>
      </c>
      <c r="IQ277" s="41" t="e">
        <f t="shared" si="212"/>
        <v>#DIV/0!</v>
      </c>
      <c r="IR277" s="41" t="e">
        <f t="shared" si="212"/>
        <v>#DIV/0!</v>
      </c>
      <c r="IS277" s="41" t="e">
        <f t="shared" si="212"/>
        <v>#DIV/0!</v>
      </c>
      <c r="IT277" s="41" t="e">
        <f t="shared" si="212"/>
        <v>#DIV/0!</v>
      </c>
      <c r="IU277" s="41" t="e">
        <f t="shared" si="212"/>
        <v>#DIV/0!</v>
      </c>
      <c r="IV277" s="41" t="e">
        <f t="shared" si="212"/>
        <v>#DIV/0!</v>
      </c>
    </row>
    <row r="278" spans="1:256" ht="13.5" customHeight="1">
      <c r="A278" s="26" t="s">
        <v>245</v>
      </c>
      <c r="B278" s="41">
        <f aca="true" t="shared" si="213" ref="B278:Z278">B249+B275</f>
        <v>-1420.2457103747854</v>
      </c>
      <c r="C278" s="41">
        <f t="shared" si="213"/>
        <v>-348.091731778012</v>
      </c>
      <c r="D278" s="41">
        <f t="shared" si="213"/>
        <v>-158.3787601282539</v>
      </c>
      <c r="E278" s="41">
        <f t="shared" si="213"/>
        <v>-84.57650121129659</v>
      </c>
      <c r="F278" s="41">
        <f t="shared" si="213"/>
        <v>-47.8972234800337</v>
      </c>
      <c r="G278" s="41">
        <f t="shared" si="213"/>
        <v>-25.202775772219447</v>
      </c>
      <c r="H278" s="41">
        <f t="shared" si="213"/>
        <v>-8.233979700616501</v>
      </c>
      <c r="I278" s="41">
        <f t="shared" si="213"/>
        <v>5.4300139227886515</v>
      </c>
      <c r="J278" s="41">
        <f t="shared" si="213"/>
        <v>15.84880023476044</v>
      </c>
      <c r="K278" s="41">
        <f t="shared" si="213"/>
        <v>22.647065497700222</v>
      </c>
      <c r="L278" s="41">
        <f t="shared" si="213"/>
        <v>26.102470145202698</v>
      </c>
      <c r="M278" s="41">
        <f t="shared" si="213"/>
        <v>27.613051431931048</v>
      </c>
      <c r="N278" s="41">
        <f t="shared" si="213"/>
        <v>30.558028687772644</v>
      </c>
      <c r="O278" s="41">
        <f t="shared" si="213"/>
        <v>22.222865301339507</v>
      </c>
      <c r="P278" s="41">
        <f t="shared" si="213"/>
        <v>42.133279503038594</v>
      </c>
      <c r="Q278" s="41">
        <f t="shared" si="213"/>
        <v>62.79399876202399</v>
      </c>
      <c r="R278" s="41">
        <f t="shared" si="213"/>
        <v>77.82664091657543</v>
      </c>
      <c r="S278" s="41">
        <f t="shared" si="213"/>
        <v>59.86878288974063</v>
      </c>
      <c r="T278" s="41">
        <f t="shared" si="213"/>
        <v>3.591338251194955</v>
      </c>
      <c r="U278" s="41">
        <f t="shared" si="213"/>
        <v>-47.0456478009141</v>
      </c>
      <c r="V278" s="41">
        <f t="shared" si="213"/>
        <v>-52.19960137021429</v>
      </c>
      <c r="W278" s="41">
        <f t="shared" si="213"/>
        <v>30.24519793698027</v>
      </c>
      <c r="X278" s="41">
        <f t="shared" si="213"/>
        <v>327.49111676272514</v>
      </c>
      <c r="Y278" s="41">
        <f t="shared" si="213"/>
        <v>1493.5132921273027</v>
      </c>
      <c r="Z278" s="41">
        <f t="shared" si="213"/>
        <v>-2709.1965489235354</v>
      </c>
      <c r="AA278" s="41"/>
      <c r="FZ278" s="41"/>
      <c r="GB278" s="41" t="e">
        <f aca="true" t="shared" si="214" ref="GB278:GL278">GB249+GB275</f>
        <v>#DIV/0!</v>
      </c>
      <c r="GC278" s="41" t="e">
        <f t="shared" si="214"/>
        <v>#DIV/0!</v>
      </c>
      <c r="GD278" s="41" t="e">
        <f t="shared" si="214"/>
        <v>#DIV/0!</v>
      </c>
      <c r="GE278" s="41" t="e">
        <f t="shared" si="214"/>
        <v>#DIV/0!</v>
      </c>
      <c r="GF278" s="41" t="e">
        <f t="shared" si="214"/>
        <v>#DIV/0!</v>
      </c>
      <c r="GG278" s="41" t="e">
        <f t="shared" si="214"/>
        <v>#DIV/0!</v>
      </c>
      <c r="GH278" s="41" t="e">
        <f t="shared" si="214"/>
        <v>#DIV/0!</v>
      </c>
      <c r="GI278" s="41" t="e">
        <f t="shared" si="214"/>
        <v>#DIV/0!</v>
      </c>
      <c r="GJ278" s="41" t="e">
        <f t="shared" si="214"/>
        <v>#DIV/0!</v>
      </c>
      <c r="GK278" s="41" t="e">
        <f t="shared" si="214"/>
        <v>#DIV/0!</v>
      </c>
      <c r="GL278" s="41" t="e">
        <f t="shared" si="214"/>
        <v>#DIV/0!</v>
      </c>
      <c r="GM278" s="41" t="e">
        <f aca="true" t="shared" si="215" ref="GM278:IV278">GM249+GM275</f>
        <v>#DIV/0!</v>
      </c>
      <c r="GN278" s="41" t="e">
        <f t="shared" si="215"/>
        <v>#DIV/0!</v>
      </c>
      <c r="GO278" s="41" t="e">
        <f t="shared" si="215"/>
        <v>#DIV/0!</v>
      </c>
      <c r="GP278" s="41" t="e">
        <f t="shared" si="215"/>
        <v>#DIV/0!</v>
      </c>
      <c r="GQ278" s="41" t="e">
        <f t="shared" si="215"/>
        <v>#DIV/0!</v>
      </c>
      <c r="GR278" s="41" t="e">
        <f t="shared" si="215"/>
        <v>#DIV/0!</v>
      </c>
      <c r="GS278" s="41" t="e">
        <f t="shared" si="215"/>
        <v>#DIV/0!</v>
      </c>
      <c r="GT278" s="41" t="e">
        <f t="shared" si="215"/>
        <v>#DIV/0!</v>
      </c>
      <c r="GU278" s="41" t="e">
        <f t="shared" si="215"/>
        <v>#DIV/0!</v>
      </c>
      <c r="GV278" s="41" t="e">
        <f t="shared" si="215"/>
        <v>#DIV/0!</v>
      </c>
      <c r="GW278" s="41" t="e">
        <f t="shared" si="215"/>
        <v>#DIV/0!</v>
      </c>
      <c r="GX278" s="41" t="e">
        <f t="shared" si="215"/>
        <v>#DIV/0!</v>
      </c>
      <c r="GY278" s="41" t="e">
        <f t="shared" si="215"/>
        <v>#DIV/0!</v>
      </c>
      <c r="GZ278" s="41" t="e">
        <f t="shared" si="215"/>
        <v>#DIV/0!</v>
      </c>
      <c r="HA278" s="41" t="e">
        <f t="shared" si="215"/>
        <v>#DIV/0!</v>
      </c>
      <c r="HB278" s="41" t="e">
        <f t="shared" si="215"/>
        <v>#DIV/0!</v>
      </c>
      <c r="HC278" s="41" t="e">
        <f t="shared" si="215"/>
        <v>#DIV/0!</v>
      </c>
      <c r="HD278" s="41" t="e">
        <f t="shared" si="215"/>
        <v>#DIV/0!</v>
      </c>
      <c r="HE278" s="41" t="e">
        <f t="shared" si="215"/>
        <v>#DIV/0!</v>
      </c>
      <c r="HF278" s="41" t="e">
        <f t="shared" si="215"/>
        <v>#DIV/0!</v>
      </c>
      <c r="HG278" s="41" t="e">
        <f t="shared" si="215"/>
        <v>#DIV/0!</v>
      </c>
      <c r="HH278" s="41" t="e">
        <f t="shared" si="215"/>
        <v>#DIV/0!</v>
      </c>
      <c r="HI278" s="41" t="e">
        <f t="shared" si="215"/>
        <v>#DIV/0!</v>
      </c>
      <c r="HJ278" s="41" t="e">
        <f t="shared" si="215"/>
        <v>#DIV/0!</v>
      </c>
      <c r="HK278" s="41" t="e">
        <f t="shared" si="215"/>
        <v>#DIV/0!</v>
      </c>
      <c r="HL278" s="41" t="e">
        <f t="shared" si="215"/>
        <v>#DIV/0!</v>
      </c>
      <c r="HM278" s="41" t="e">
        <f t="shared" si="215"/>
        <v>#DIV/0!</v>
      </c>
      <c r="HN278" s="41" t="e">
        <f t="shared" si="215"/>
        <v>#DIV/0!</v>
      </c>
      <c r="HO278" s="41" t="e">
        <f t="shared" si="215"/>
        <v>#DIV/0!</v>
      </c>
      <c r="HP278" s="41" t="e">
        <f t="shared" si="215"/>
        <v>#DIV/0!</v>
      </c>
      <c r="HQ278" s="41" t="e">
        <f t="shared" si="215"/>
        <v>#DIV/0!</v>
      </c>
      <c r="HR278" s="41" t="e">
        <f t="shared" si="215"/>
        <v>#DIV/0!</v>
      </c>
      <c r="HS278" s="41" t="e">
        <f t="shared" si="215"/>
        <v>#DIV/0!</v>
      </c>
      <c r="HT278" s="41" t="e">
        <f t="shared" si="215"/>
        <v>#DIV/0!</v>
      </c>
      <c r="HU278" s="41" t="e">
        <f t="shared" si="215"/>
        <v>#DIV/0!</v>
      </c>
      <c r="HV278" s="41" t="e">
        <f t="shared" si="215"/>
        <v>#DIV/0!</v>
      </c>
      <c r="HW278" s="41" t="e">
        <f t="shared" si="215"/>
        <v>#DIV/0!</v>
      </c>
      <c r="HX278" s="41" t="e">
        <f t="shared" si="215"/>
        <v>#DIV/0!</v>
      </c>
      <c r="HY278" s="41" t="e">
        <f t="shared" si="215"/>
        <v>#DIV/0!</v>
      </c>
      <c r="HZ278" s="41" t="e">
        <f t="shared" si="215"/>
        <v>#DIV/0!</v>
      </c>
      <c r="IA278" s="41" t="e">
        <f t="shared" si="215"/>
        <v>#DIV/0!</v>
      </c>
      <c r="IB278" s="41" t="e">
        <f t="shared" si="215"/>
        <v>#DIV/0!</v>
      </c>
      <c r="IC278" s="41" t="e">
        <f t="shared" si="215"/>
        <v>#DIV/0!</v>
      </c>
      <c r="ID278" s="41" t="e">
        <f t="shared" si="215"/>
        <v>#DIV/0!</v>
      </c>
      <c r="IE278" s="41" t="e">
        <f t="shared" si="215"/>
        <v>#DIV/0!</v>
      </c>
      <c r="IF278" s="41" t="e">
        <f t="shared" si="215"/>
        <v>#DIV/0!</v>
      </c>
      <c r="IG278" s="41" t="e">
        <f t="shared" si="215"/>
        <v>#DIV/0!</v>
      </c>
      <c r="IH278" s="41" t="e">
        <f t="shared" si="215"/>
        <v>#DIV/0!</v>
      </c>
      <c r="II278" s="41" t="e">
        <f t="shared" si="215"/>
        <v>#DIV/0!</v>
      </c>
      <c r="IJ278" s="41" t="e">
        <f t="shared" si="215"/>
        <v>#DIV/0!</v>
      </c>
      <c r="IK278" s="41" t="e">
        <f t="shared" si="215"/>
        <v>#DIV/0!</v>
      </c>
      <c r="IL278" s="41" t="e">
        <f t="shared" si="215"/>
        <v>#DIV/0!</v>
      </c>
      <c r="IM278" s="41" t="e">
        <f t="shared" si="215"/>
        <v>#DIV/0!</v>
      </c>
      <c r="IN278" s="41" t="e">
        <f t="shared" si="215"/>
        <v>#DIV/0!</v>
      </c>
      <c r="IO278" s="41" t="e">
        <f t="shared" si="215"/>
        <v>#DIV/0!</v>
      </c>
      <c r="IP278" s="41" t="e">
        <f t="shared" si="215"/>
        <v>#DIV/0!</v>
      </c>
      <c r="IQ278" s="41" t="e">
        <f t="shared" si="215"/>
        <v>#DIV/0!</v>
      </c>
      <c r="IR278" s="41" t="e">
        <f t="shared" si="215"/>
        <v>#DIV/0!</v>
      </c>
      <c r="IS278" s="41" t="e">
        <f t="shared" si="215"/>
        <v>#DIV/0!</v>
      </c>
      <c r="IT278" s="41" t="e">
        <f t="shared" si="215"/>
        <v>#DIV/0!</v>
      </c>
      <c r="IU278" s="41" t="e">
        <f t="shared" si="215"/>
        <v>#DIV/0!</v>
      </c>
      <c r="IV278" s="41" t="e">
        <f t="shared" si="215"/>
        <v>#DIV/0!</v>
      </c>
    </row>
    <row r="279" spans="1:256" ht="13.5" customHeight="1">
      <c r="A279" s="26" t="s">
        <v>246</v>
      </c>
      <c r="B279" s="41">
        <f aca="true" t="shared" si="216" ref="B279:Z279">B250+B276</f>
        <v>36.26410629725977</v>
      </c>
      <c r="C279" s="41">
        <f t="shared" si="216"/>
        <v>-48.03374744458158</v>
      </c>
      <c r="D279" s="41">
        <f t="shared" si="216"/>
        <v>-39.969491337370314</v>
      </c>
      <c r="E279" s="41">
        <f t="shared" si="216"/>
        <v>-27.258272673884008</v>
      </c>
      <c r="F279" s="41">
        <f t="shared" si="216"/>
        <v>-18.18645484393943</v>
      </c>
      <c r="G279" s="41">
        <f t="shared" si="216"/>
        <v>-12.793281740372208</v>
      </c>
      <c r="H279" s="41">
        <f t="shared" si="216"/>
        <v>-9.403507240531352</v>
      </c>
      <c r="I279" s="41">
        <f t="shared" si="216"/>
        <v>-6.2426167248242805</v>
      </c>
      <c r="J279" s="41">
        <f t="shared" si="216"/>
        <v>-2.0613165693020505</v>
      </c>
      <c r="K279" s="41">
        <f t="shared" si="216"/>
        <v>3.5826050809039884</v>
      </c>
      <c r="L279" s="41">
        <f t="shared" si="216"/>
        <v>10.459722101665932</v>
      </c>
      <c r="M279" s="41">
        <f t="shared" si="216"/>
        <v>18.19692959182044</v>
      </c>
      <c r="N279" s="41">
        <f t="shared" si="216"/>
        <v>27.11695924862675</v>
      </c>
      <c r="O279" s="41">
        <f t="shared" si="216"/>
        <v>35.34095318664739</v>
      </c>
      <c r="P279" s="41">
        <f t="shared" si="216"/>
        <v>52.8947630041232</v>
      </c>
      <c r="Q279" s="41">
        <f t="shared" si="216"/>
        <v>76.85044537223602</v>
      </c>
      <c r="R279" s="41">
        <f t="shared" si="216"/>
        <v>104.1408475959337</v>
      </c>
      <c r="S279" s="41">
        <f t="shared" si="216"/>
        <v>118.4321384444276</v>
      </c>
      <c r="T279" s="41">
        <f t="shared" si="216"/>
        <v>111.45057583955708</v>
      </c>
      <c r="U279" s="41">
        <f t="shared" si="216"/>
        <v>92.94389203238325</v>
      </c>
      <c r="V279" s="41">
        <f t="shared" si="216"/>
        <v>43.170684462692975</v>
      </c>
      <c r="W279" s="41">
        <f t="shared" si="216"/>
        <v>-67.13071311095953</v>
      </c>
      <c r="X279" s="41">
        <f t="shared" si="216"/>
        <v>-215.11400113842058</v>
      </c>
      <c r="Y279" s="41">
        <f t="shared" si="216"/>
        <v>-404.7292319111823</v>
      </c>
      <c r="Z279" s="41">
        <f t="shared" si="216"/>
        <v>50.49197100884855</v>
      </c>
      <c r="AA279" s="41"/>
      <c r="FZ279" s="41"/>
      <c r="GB279" s="41" t="e">
        <f aca="true" t="shared" si="217" ref="GB279:GL279">GB250+GB276</f>
        <v>#DIV/0!</v>
      </c>
      <c r="GC279" s="41" t="e">
        <f t="shared" si="217"/>
        <v>#DIV/0!</v>
      </c>
      <c r="GD279" s="41" t="e">
        <f t="shared" si="217"/>
        <v>#DIV/0!</v>
      </c>
      <c r="GE279" s="41" t="e">
        <f t="shared" si="217"/>
        <v>#DIV/0!</v>
      </c>
      <c r="GF279" s="41" t="e">
        <f t="shared" si="217"/>
        <v>#DIV/0!</v>
      </c>
      <c r="GG279" s="41" t="e">
        <f t="shared" si="217"/>
        <v>#DIV/0!</v>
      </c>
      <c r="GH279" s="41" t="e">
        <f t="shared" si="217"/>
        <v>#DIV/0!</v>
      </c>
      <c r="GI279" s="41" t="e">
        <f t="shared" si="217"/>
        <v>#DIV/0!</v>
      </c>
      <c r="GJ279" s="41" t="e">
        <f t="shared" si="217"/>
        <v>#DIV/0!</v>
      </c>
      <c r="GK279" s="41" t="e">
        <f t="shared" si="217"/>
        <v>#DIV/0!</v>
      </c>
      <c r="GL279" s="41" t="e">
        <f t="shared" si="217"/>
        <v>#DIV/0!</v>
      </c>
      <c r="GM279" s="41" t="e">
        <f aca="true" t="shared" si="218" ref="GM279:IV279">GM250+GM276</f>
        <v>#DIV/0!</v>
      </c>
      <c r="GN279" s="41" t="e">
        <f t="shared" si="218"/>
        <v>#DIV/0!</v>
      </c>
      <c r="GO279" s="41" t="e">
        <f t="shared" si="218"/>
        <v>#DIV/0!</v>
      </c>
      <c r="GP279" s="41" t="e">
        <f t="shared" si="218"/>
        <v>#DIV/0!</v>
      </c>
      <c r="GQ279" s="41" t="e">
        <f t="shared" si="218"/>
        <v>#DIV/0!</v>
      </c>
      <c r="GR279" s="41" t="e">
        <f t="shared" si="218"/>
        <v>#DIV/0!</v>
      </c>
      <c r="GS279" s="41" t="e">
        <f t="shared" si="218"/>
        <v>#DIV/0!</v>
      </c>
      <c r="GT279" s="41" t="e">
        <f t="shared" si="218"/>
        <v>#DIV/0!</v>
      </c>
      <c r="GU279" s="41" t="e">
        <f t="shared" si="218"/>
        <v>#DIV/0!</v>
      </c>
      <c r="GV279" s="41" t="e">
        <f t="shared" si="218"/>
        <v>#DIV/0!</v>
      </c>
      <c r="GW279" s="41" t="e">
        <f t="shared" si="218"/>
        <v>#DIV/0!</v>
      </c>
      <c r="GX279" s="41" t="e">
        <f t="shared" si="218"/>
        <v>#DIV/0!</v>
      </c>
      <c r="GY279" s="41" t="e">
        <f t="shared" si="218"/>
        <v>#DIV/0!</v>
      </c>
      <c r="GZ279" s="41" t="e">
        <f t="shared" si="218"/>
        <v>#DIV/0!</v>
      </c>
      <c r="HA279" s="41" t="e">
        <f t="shared" si="218"/>
        <v>#DIV/0!</v>
      </c>
      <c r="HB279" s="41" t="e">
        <f t="shared" si="218"/>
        <v>#DIV/0!</v>
      </c>
      <c r="HC279" s="41" t="e">
        <f t="shared" si="218"/>
        <v>#DIV/0!</v>
      </c>
      <c r="HD279" s="41" t="e">
        <f t="shared" si="218"/>
        <v>#DIV/0!</v>
      </c>
      <c r="HE279" s="41" t="e">
        <f t="shared" si="218"/>
        <v>#DIV/0!</v>
      </c>
      <c r="HF279" s="41" t="e">
        <f t="shared" si="218"/>
        <v>#DIV/0!</v>
      </c>
      <c r="HG279" s="41" t="e">
        <f t="shared" si="218"/>
        <v>#DIV/0!</v>
      </c>
      <c r="HH279" s="41" t="e">
        <f t="shared" si="218"/>
        <v>#DIV/0!</v>
      </c>
      <c r="HI279" s="41" t="e">
        <f t="shared" si="218"/>
        <v>#DIV/0!</v>
      </c>
      <c r="HJ279" s="41" t="e">
        <f t="shared" si="218"/>
        <v>#DIV/0!</v>
      </c>
      <c r="HK279" s="41" t="e">
        <f t="shared" si="218"/>
        <v>#DIV/0!</v>
      </c>
      <c r="HL279" s="41" t="e">
        <f t="shared" si="218"/>
        <v>#DIV/0!</v>
      </c>
      <c r="HM279" s="41" t="e">
        <f t="shared" si="218"/>
        <v>#DIV/0!</v>
      </c>
      <c r="HN279" s="41" t="e">
        <f t="shared" si="218"/>
        <v>#DIV/0!</v>
      </c>
      <c r="HO279" s="41" t="e">
        <f t="shared" si="218"/>
        <v>#DIV/0!</v>
      </c>
      <c r="HP279" s="41" t="e">
        <f t="shared" si="218"/>
        <v>#DIV/0!</v>
      </c>
      <c r="HQ279" s="41" t="e">
        <f t="shared" si="218"/>
        <v>#DIV/0!</v>
      </c>
      <c r="HR279" s="41" t="e">
        <f t="shared" si="218"/>
        <v>#DIV/0!</v>
      </c>
      <c r="HS279" s="41" t="e">
        <f t="shared" si="218"/>
        <v>#DIV/0!</v>
      </c>
      <c r="HT279" s="41" t="e">
        <f t="shared" si="218"/>
        <v>#DIV/0!</v>
      </c>
      <c r="HU279" s="41" t="e">
        <f t="shared" si="218"/>
        <v>#DIV/0!</v>
      </c>
      <c r="HV279" s="41" t="e">
        <f t="shared" si="218"/>
        <v>#DIV/0!</v>
      </c>
      <c r="HW279" s="41" t="e">
        <f t="shared" si="218"/>
        <v>#DIV/0!</v>
      </c>
      <c r="HX279" s="41" t="e">
        <f t="shared" si="218"/>
        <v>#DIV/0!</v>
      </c>
      <c r="HY279" s="41" t="e">
        <f t="shared" si="218"/>
        <v>#DIV/0!</v>
      </c>
      <c r="HZ279" s="41" t="e">
        <f t="shared" si="218"/>
        <v>#DIV/0!</v>
      </c>
      <c r="IA279" s="41" t="e">
        <f t="shared" si="218"/>
        <v>#DIV/0!</v>
      </c>
      <c r="IB279" s="41" t="e">
        <f t="shared" si="218"/>
        <v>#DIV/0!</v>
      </c>
      <c r="IC279" s="41" t="e">
        <f t="shared" si="218"/>
        <v>#DIV/0!</v>
      </c>
      <c r="ID279" s="41" t="e">
        <f t="shared" si="218"/>
        <v>#DIV/0!</v>
      </c>
      <c r="IE279" s="41" t="e">
        <f t="shared" si="218"/>
        <v>#DIV/0!</v>
      </c>
      <c r="IF279" s="41" t="e">
        <f t="shared" si="218"/>
        <v>#DIV/0!</v>
      </c>
      <c r="IG279" s="41" t="e">
        <f t="shared" si="218"/>
        <v>#DIV/0!</v>
      </c>
      <c r="IH279" s="41" t="e">
        <f t="shared" si="218"/>
        <v>#DIV/0!</v>
      </c>
      <c r="II279" s="41" t="e">
        <f t="shared" si="218"/>
        <v>#DIV/0!</v>
      </c>
      <c r="IJ279" s="41" t="e">
        <f t="shared" si="218"/>
        <v>#DIV/0!</v>
      </c>
      <c r="IK279" s="41" t="e">
        <f t="shared" si="218"/>
        <v>#DIV/0!</v>
      </c>
      <c r="IL279" s="41" t="e">
        <f t="shared" si="218"/>
        <v>#DIV/0!</v>
      </c>
      <c r="IM279" s="41" t="e">
        <f t="shared" si="218"/>
        <v>#DIV/0!</v>
      </c>
      <c r="IN279" s="41" t="e">
        <f t="shared" si="218"/>
        <v>#DIV/0!</v>
      </c>
      <c r="IO279" s="41" t="e">
        <f t="shared" si="218"/>
        <v>#DIV/0!</v>
      </c>
      <c r="IP279" s="41" t="e">
        <f t="shared" si="218"/>
        <v>#DIV/0!</v>
      </c>
      <c r="IQ279" s="41" t="e">
        <f t="shared" si="218"/>
        <v>#DIV/0!</v>
      </c>
      <c r="IR279" s="41" t="e">
        <f t="shared" si="218"/>
        <v>#DIV/0!</v>
      </c>
      <c r="IS279" s="41" t="e">
        <f t="shared" si="218"/>
        <v>#DIV/0!</v>
      </c>
      <c r="IT279" s="41" t="e">
        <f t="shared" si="218"/>
        <v>#DIV/0!</v>
      </c>
      <c r="IU279" s="41" t="e">
        <f t="shared" si="218"/>
        <v>#DIV/0!</v>
      </c>
      <c r="IV279" s="41" t="e">
        <f t="shared" si="218"/>
        <v>#DIV/0!</v>
      </c>
    </row>
    <row r="280" spans="1:256" ht="13.5" customHeight="1" thickBot="1">
      <c r="A280" s="111" t="s">
        <v>228</v>
      </c>
      <c r="B280" s="41">
        <f aca="true" t="shared" si="219" ref="B280:Z280">B278*B36+B279*B37</f>
        <v>258.92571896243476</v>
      </c>
      <c r="C280" s="41">
        <f t="shared" si="219"/>
        <v>311.98752959803767</v>
      </c>
      <c r="D280" s="41">
        <f t="shared" si="219"/>
        <v>319.0971793691404</v>
      </c>
      <c r="E280" s="41">
        <f t="shared" si="219"/>
        <v>291.65779597570753</v>
      </c>
      <c r="F280" s="41">
        <f t="shared" si="219"/>
        <v>234.8706874131105</v>
      </c>
      <c r="G280" s="41">
        <f t="shared" si="219"/>
        <v>154.0908995141546</v>
      </c>
      <c r="H280" s="41">
        <f t="shared" si="219"/>
        <v>61.08142769555074</v>
      </c>
      <c r="I280" s="41">
        <f t="shared" si="219"/>
        <v>-27.319493424107158</v>
      </c>
      <c r="J280" s="41">
        <f t="shared" si="219"/>
        <v>-97.15917153898667</v>
      </c>
      <c r="K280" s="41">
        <f t="shared" si="219"/>
        <v>-144.58082368542802</v>
      </c>
      <c r="L280" s="41">
        <f t="shared" si="219"/>
        <v>-175.82114362564138</v>
      </c>
      <c r="M280" s="41">
        <f t="shared" si="219"/>
        <v>-200.8416639061109</v>
      </c>
      <c r="N280" s="41">
        <f t="shared" si="219"/>
        <v>-225.28967287167544</v>
      </c>
      <c r="O280" s="41">
        <f t="shared" si="219"/>
        <v>-241.42119000900232</v>
      </c>
      <c r="P280" s="41">
        <f t="shared" si="219"/>
        <v>-215.59961523134078</v>
      </c>
      <c r="Q280" s="41">
        <f t="shared" si="219"/>
        <v>-88.79621752369013</v>
      </c>
      <c r="R280" s="41">
        <f t="shared" si="219"/>
        <v>140.4710563537078</v>
      </c>
      <c r="S280" s="41">
        <f t="shared" si="219"/>
        <v>255.525837444859</v>
      </c>
      <c r="T280" s="41">
        <f t="shared" si="219"/>
        <v>34.65685427998687</v>
      </c>
      <c r="U280" s="41">
        <f t="shared" si="219"/>
        <v>-211.85115147931162</v>
      </c>
      <c r="V280" s="41">
        <f t="shared" si="219"/>
        <v>-240.18613557853087</v>
      </c>
      <c r="W280" s="41">
        <f t="shared" si="219"/>
        <v>-272.24054874902833</v>
      </c>
      <c r="X280" s="41">
        <f t="shared" si="219"/>
        <v>-241.57487566385703</v>
      </c>
      <c r="Y280" s="41">
        <f t="shared" si="219"/>
        <v>-48.25328801651358</v>
      </c>
      <c r="Z280" s="41">
        <f t="shared" si="219"/>
        <v>569.6167474888641</v>
      </c>
      <c r="AA280" s="41"/>
      <c r="FZ280" s="41"/>
      <c r="GB280" s="41" t="e">
        <f aca="true" t="shared" si="220" ref="GB280:GL280">GB278*GB36+GB279*GB37</f>
        <v>#DIV/0!</v>
      </c>
      <c r="GC280" s="41" t="e">
        <f t="shared" si="220"/>
        <v>#DIV/0!</v>
      </c>
      <c r="GD280" s="41" t="e">
        <f t="shared" si="220"/>
        <v>#DIV/0!</v>
      </c>
      <c r="GE280" s="41" t="e">
        <f t="shared" si="220"/>
        <v>#DIV/0!</v>
      </c>
      <c r="GF280" s="41" t="e">
        <f t="shared" si="220"/>
        <v>#DIV/0!</v>
      </c>
      <c r="GG280" s="41" t="e">
        <f t="shared" si="220"/>
        <v>#DIV/0!</v>
      </c>
      <c r="GH280" s="41" t="e">
        <f t="shared" si="220"/>
        <v>#DIV/0!</v>
      </c>
      <c r="GI280" s="41" t="e">
        <f t="shared" si="220"/>
        <v>#DIV/0!</v>
      </c>
      <c r="GJ280" s="41" t="e">
        <f t="shared" si="220"/>
        <v>#DIV/0!</v>
      </c>
      <c r="GK280" s="41" t="e">
        <f t="shared" si="220"/>
        <v>#DIV/0!</v>
      </c>
      <c r="GL280" s="41" t="e">
        <f t="shared" si="220"/>
        <v>#DIV/0!</v>
      </c>
      <c r="GM280" s="41" t="e">
        <f aca="true" t="shared" si="221" ref="GM280:IV280">GM278*GM36+GM279*GM37</f>
        <v>#DIV/0!</v>
      </c>
      <c r="GN280" s="41" t="e">
        <f t="shared" si="221"/>
        <v>#DIV/0!</v>
      </c>
      <c r="GO280" s="41" t="e">
        <f t="shared" si="221"/>
        <v>#DIV/0!</v>
      </c>
      <c r="GP280" s="41" t="e">
        <f t="shared" si="221"/>
        <v>#DIV/0!</v>
      </c>
      <c r="GQ280" s="41" t="e">
        <f t="shared" si="221"/>
        <v>#DIV/0!</v>
      </c>
      <c r="GR280" s="41" t="e">
        <f t="shared" si="221"/>
        <v>#DIV/0!</v>
      </c>
      <c r="GS280" s="41" t="e">
        <f t="shared" si="221"/>
        <v>#DIV/0!</v>
      </c>
      <c r="GT280" s="41" t="e">
        <f t="shared" si="221"/>
        <v>#DIV/0!</v>
      </c>
      <c r="GU280" s="41" t="e">
        <f t="shared" si="221"/>
        <v>#DIV/0!</v>
      </c>
      <c r="GV280" s="41" t="e">
        <f t="shared" si="221"/>
        <v>#DIV/0!</v>
      </c>
      <c r="GW280" s="41" t="e">
        <f t="shared" si="221"/>
        <v>#DIV/0!</v>
      </c>
      <c r="GX280" s="41" t="e">
        <f t="shared" si="221"/>
        <v>#DIV/0!</v>
      </c>
      <c r="GY280" s="41" t="e">
        <f t="shared" si="221"/>
        <v>#DIV/0!</v>
      </c>
      <c r="GZ280" s="41" t="e">
        <f t="shared" si="221"/>
        <v>#DIV/0!</v>
      </c>
      <c r="HA280" s="41" t="e">
        <f t="shared" si="221"/>
        <v>#DIV/0!</v>
      </c>
      <c r="HB280" s="41" t="e">
        <f t="shared" si="221"/>
        <v>#DIV/0!</v>
      </c>
      <c r="HC280" s="41" t="e">
        <f t="shared" si="221"/>
        <v>#DIV/0!</v>
      </c>
      <c r="HD280" s="41" t="e">
        <f t="shared" si="221"/>
        <v>#DIV/0!</v>
      </c>
      <c r="HE280" s="41" t="e">
        <f t="shared" si="221"/>
        <v>#DIV/0!</v>
      </c>
      <c r="HF280" s="41" t="e">
        <f t="shared" si="221"/>
        <v>#DIV/0!</v>
      </c>
      <c r="HG280" s="41" t="e">
        <f t="shared" si="221"/>
        <v>#DIV/0!</v>
      </c>
      <c r="HH280" s="41" t="e">
        <f t="shared" si="221"/>
        <v>#DIV/0!</v>
      </c>
      <c r="HI280" s="41" t="e">
        <f t="shared" si="221"/>
        <v>#DIV/0!</v>
      </c>
      <c r="HJ280" s="41" t="e">
        <f t="shared" si="221"/>
        <v>#DIV/0!</v>
      </c>
      <c r="HK280" s="41" t="e">
        <f t="shared" si="221"/>
        <v>#DIV/0!</v>
      </c>
      <c r="HL280" s="41" t="e">
        <f t="shared" si="221"/>
        <v>#DIV/0!</v>
      </c>
      <c r="HM280" s="41" t="e">
        <f t="shared" si="221"/>
        <v>#DIV/0!</v>
      </c>
      <c r="HN280" s="41" t="e">
        <f t="shared" si="221"/>
        <v>#DIV/0!</v>
      </c>
      <c r="HO280" s="41" t="e">
        <f t="shared" si="221"/>
        <v>#DIV/0!</v>
      </c>
      <c r="HP280" s="41" t="e">
        <f t="shared" si="221"/>
        <v>#DIV/0!</v>
      </c>
      <c r="HQ280" s="41" t="e">
        <f t="shared" si="221"/>
        <v>#DIV/0!</v>
      </c>
      <c r="HR280" s="41" t="e">
        <f t="shared" si="221"/>
        <v>#DIV/0!</v>
      </c>
      <c r="HS280" s="41" t="e">
        <f t="shared" si="221"/>
        <v>#DIV/0!</v>
      </c>
      <c r="HT280" s="41" t="e">
        <f t="shared" si="221"/>
        <v>#DIV/0!</v>
      </c>
      <c r="HU280" s="41" t="e">
        <f t="shared" si="221"/>
        <v>#DIV/0!</v>
      </c>
      <c r="HV280" s="41" t="e">
        <f t="shared" si="221"/>
        <v>#DIV/0!</v>
      </c>
      <c r="HW280" s="41" t="e">
        <f t="shared" si="221"/>
        <v>#DIV/0!</v>
      </c>
      <c r="HX280" s="41" t="e">
        <f t="shared" si="221"/>
        <v>#DIV/0!</v>
      </c>
      <c r="HY280" s="41" t="e">
        <f t="shared" si="221"/>
        <v>#DIV/0!</v>
      </c>
      <c r="HZ280" s="41" t="e">
        <f t="shared" si="221"/>
        <v>#DIV/0!</v>
      </c>
      <c r="IA280" s="41" t="e">
        <f t="shared" si="221"/>
        <v>#DIV/0!</v>
      </c>
      <c r="IB280" s="41" t="e">
        <f t="shared" si="221"/>
        <v>#DIV/0!</v>
      </c>
      <c r="IC280" s="41" t="e">
        <f t="shared" si="221"/>
        <v>#DIV/0!</v>
      </c>
      <c r="ID280" s="41" t="e">
        <f t="shared" si="221"/>
        <v>#DIV/0!</v>
      </c>
      <c r="IE280" s="41" t="e">
        <f t="shared" si="221"/>
        <v>#DIV/0!</v>
      </c>
      <c r="IF280" s="41" t="e">
        <f t="shared" si="221"/>
        <v>#DIV/0!</v>
      </c>
      <c r="IG280" s="41" t="e">
        <f t="shared" si="221"/>
        <v>#DIV/0!</v>
      </c>
      <c r="IH280" s="41" t="e">
        <f t="shared" si="221"/>
        <v>#DIV/0!</v>
      </c>
      <c r="II280" s="41" t="e">
        <f t="shared" si="221"/>
        <v>#DIV/0!</v>
      </c>
      <c r="IJ280" s="41" t="e">
        <f t="shared" si="221"/>
        <v>#DIV/0!</v>
      </c>
      <c r="IK280" s="41" t="e">
        <f t="shared" si="221"/>
        <v>#DIV/0!</v>
      </c>
      <c r="IL280" s="41" t="e">
        <f t="shared" si="221"/>
        <v>#DIV/0!</v>
      </c>
      <c r="IM280" s="41" t="e">
        <f t="shared" si="221"/>
        <v>#DIV/0!</v>
      </c>
      <c r="IN280" s="41" t="e">
        <f t="shared" si="221"/>
        <v>#DIV/0!</v>
      </c>
      <c r="IO280" s="41" t="e">
        <f t="shared" si="221"/>
        <v>#DIV/0!</v>
      </c>
      <c r="IP280" s="41" t="e">
        <f t="shared" si="221"/>
        <v>#DIV/0!</v>
      </c>
      <c r="IQ280" s="41" t="e">
        <f t="shared" si="221"/>
        <v>#DIV/0!</v>
      </c>
      <c r="IR280" s="41" t="e">
        <f t="shared" si="221"/>
        <v>#DIV/0!</v>
      </c>
      <c r="IS280" s="41" t="e">
        <f t="shared" si="221"/>
        <v>#DIV/0!</v>
      </c>
      <c r="IT280" s="41" t="e">
        <f t="shared" si="221"/>
        <v>#DIV/0!</v>
      </c>
      <c r="IU280" s="41" t="e">
        <f t="shared" si="221"/>
        <v>#DIV/0!</v>
      </c>
      <c r="IV280" s="41" t="e">
        <f t="shared" si="221"/>
        <v>#DIV/0!</v>
      </c>
    </row>
    <row r="281" spans="1:256" ht="13.5" customHeight="1" thickBot="1">
      <c r="A281" s="104" t="s">
        <v>186</v>
      </c>
      <c r="B281" s="41">
        <f aca="true" t="shared" si="222" ref="B281:Z281">B280-B255</f>
        <v>0</v>
      </c>
      <c r="C281" s="41">
        <f t="shared" si="222"/>
        <v>0</v>
      </c>
      <c r="D281" s="41">
        <f t="shared" si="222"/>
        <v>0</v>
      </c>
      <c r="E281" s="41">
        <f t="shared" si="222"/>
        <v>0</v>
      </c>
      <c r="F281" s="41">
        <f t="shared" si="222"/>
        <v>0</v>
      </c>
      <c r="G281" s="41">
        <f t="shared" si="222"/>
        <v>0</v>
      </c>
      <c r="H281" s="41">
        <f t="shared" si="222"/>
        <v>0</v>
      </c>
      <c r="I281" s="41">
        <f t="shared" si="222"/>
        <v>0</v>
      </c>
      <c r="J281" s="41">
        <f t="shared" si="222"/>
        <v>2.4158453015843406E-13</v>
      </c>
      <c r="K281" s="41">
        <f t="shared" si="222"/>
        <v>-5.400124791776761E-13</v>
      </c>
      <c r="L281" s="41">
        <f t="shared" si="222"/>
        <v>0</v>
      </c>
      <c r="M281" s="41">
        <f t="shared" si="222"/>
        <v>0</v>
      </c>
      <c r="N281" s="41">
        <f t="shared" si="222"/>
        <v>0</v>
      </c>
      <c r="O281" s="41">
        <f t="shared" si="222"/>
        <v>0</v>
      </c>
      <c r="P281" s="41">
        <f t="shared" si="222"/>
        <v>0</v>
      </c>
      <c r="Q281" s="41">
        <f t="shared" si="222"/>
        <v>-1.2789769243681803E-13</v>
      </c>
      <c r="R281" s="41">
        <f t="shared" si="222"/>
        <v>0</v>
      </c>
      <c r="S281" s="41">
        <f t="shared" si="222"/>
        <v>0</v>
      </c>
      <c r="T281" s="41">
        <f t="shared" si="222"/>
        <v>-1.7763568394002505E-13</v>
      </c>
      <c r="U281" s="41">
        <f t="shared" si="222"/>
        <v>3.410605131648481E-13</v>
      </c>
      <c r="V281" s="41">
        <f t="shared" si="222"/>
        <v>3.979039320256561E-13</v>
      </c>
      <c r="W281" s="41">
        <f t="shared" si="222"/>
        <v>0</v>
      </c>
      <c r="X281" s="41">
        <f t="shared" si="222"/>
        <v>6.821210263296962E-13</v>
      </c>
      <c r="Y281" s="41">
        <f t="shared" si="222"/>
        <v>2.8421709430404007E-13</v>
      </c>
      <c r="Z281" s="41">
        <f t="shared" si="222"/>
        <v>79.08546083567057</v>
      </c>
      <c r="AA281" s="41"/>
      <c r="FZ281" s="41"/>
      <c r="GB281" s="41" t="e">
        <f aca="true" t="shared" si="223" ref="GB281:GL281">GB280-GB255</f>
        <v>#DIV/0!</v>
      </c>
      <c r="GC281" s="41" t="e">
        <f t="shared" si="223"/>
        <v>#DIV/0!</v>
      </c>
      <c r="GD281" s="41" t="e">
        <f t="shared" si="223"/>
        <v>#DIV/0!</v>
      </c>
      <c r="GE281" s="41" t="e">
        <f t="shared" si="223"/>
        <v>#DIV/0!</v>
      </c>
      <c r="GF281" s="41" t="e">
        <f t="shared" si="223"/>
        <v>#DIV/0!</v>
      </c>
      <c r="GG281" s="41" t="e">
        <f t="shared" si="223"/>
        <v>#DIV/0!</v>
      </c>
      <c r="GH281" s="41" t="e">
        <f t="shared" si="223"/>
        <v>#DIV/0!</v>
      </c>
      <c r="GI281" s="41" t="e">
        <f t="shared" si="223"/>
        <v>#DIV/0!</v>
      </c>
      <c r="GJ281" s="41" t="e">
        <f t="shared" si="223"/>
        <v>#DIV/0!</v>
      </c>
      <c r="GK281" s="41" t="e">
        <f t="shared" si="223"/>
        <v>#DIV/0!</v>
      </c>
      <c r="GL281" s="41" t="e">
        <f t="shared" si="223"/>
        <v>#DIV/0!</v>
      </c>
      <c r="GM281" s="41" t="e">
        <f aca="true" t="shared" si="224" ref="GM281:IV281">GM280-GM255</f>
        <v>#DIV/0!</v>
      </c>
      <c r="GN281" s="41" t="e">
        <f t="shared" si="224"/>
        <v>#DIV/0!</v>
      </c>
      <c r="GO281" s="41" t="e">
        <f t="shared" si="224"/>
        <v>#DIV/0!</v>
      </c>
      <c r="GP281" s="41" t="e">
        <f t="shared" si="224"/>
        <v>#DIV/0!</v>
      </c>
      <c r="GQ281" s="41" t="e">
        <f t="shared" si="224"/>
        <v>#DIV/0!</v>
      </c>
      <c r="GR281" s="41" t="e">
        <f t="shared" si="224"/>
        <v>#DIV/0!</v>
      </c>
      <c r="GS281" s="41" t="e">
        <f t="shared" si="224"/>
        <v>#DIV/0!</v>
      </c>
      <c r="GT281" s="41" t="e">
        <f t="shared" si="224"/>
        <v>#DIV/0!</v>
      </c>
      <c r="GU281" s="41" t="e">
        <f t="shared" si="224"/>
        <v>#DIV/0!</v>
      </c>
      <c r="GV281" s="41" t="e">
        <f t="shared" si="224"/>
        <v>#DIV/0!</v>
      </c>
      <c r="GW281" s="41" t="e">
        <f t="shared" si="224"/>
        <v>#DIV/0!</v>
      </c>
      <c r="GX281" s="41" t="e">
        <f t="shared" si="224"/>
        <v>#DIV/0!</v>
      </c>
      <c r="GY281" s="41" t="e">
        <f t="shared" si="224"/>
        <v>#DIV/0!</v>
      </c>
      <c r="GZ281" s="41" t="e">
        <f t="shared" si="224"/>
        <v>#DIV/0!</v>
      </c>
      <c r="HA281" s="41" t="e">
        <f t="shared" si="224"/>
        <v>#DIV/0!</v>
      </c>
      <c r="HB281" s="41" t="e">
        <f t="shared" si="224"/>
        <v>#DIV/0!</v>
      </c>
      <c r="HC281" s="41" t="e">
        <f t="shared" si="224"/>
        <v>#DIV/0!</v>
      </c>
      <c r="HD281" s="41" t="e">
        <f t="shared" si="224"/>
        <v>#DIV/0!</v>
      </c>
      <c r="HE281" s="41" t="e">
        <f t="shared" si="224"/>
        <v>#DIV/0!</v>
      </c>
      <c r="HF281" s="41" t="e">
        <f t="shared" si="224"/>
        <v>#DIV/0!</v>
      </c>
      <c r="HG281" s="41" t="e">
        <f t="shared" si="224"/>
        <v>#DIV/0!</v>
      </c>
      <c r="HH281" s="41" t="e">
        <f t="shared" si="224"/>
        <v>#DIV/0!</v>
      </c>
      <c r="HI281" s="41" t="e">
        <f t="shared" si="224"/>
        <v>#DIV/0!</v>
      </c>
      <c r="HJ281" s="41" t="e">
        <f t="shared" si="224"/>
        <v>#DIV/0!</v>
      </c>
      <c r="HK281" s="41" t="e">
        <f t="shared" si="224"/>
        <v>#DIV/0!</v>
      </c>
      <c r="HL281" s="41" t="e">
        <f t="shared" si="224"/>
        <v>#DIV/0!</v>
      </c>
      <c r="HM281" s="41" t="e">
        <f t="shared" si="224"/>
        <v>#DIV/0!</v>
      </c>
      <c r="HN281" s="41" t="e">
        <f t="shared" si="224"/>
        <v>#DIV/0!</v>
      </c>
      <c r="HO281" s="41" t="e">
        <f t="shared" si="224"/>
        <v>#DIV/0!</v>
      </c>
      <c r="HP281" s="41" t="e">
        <f t="shared" si="224"/>
        <v>#DIV/0!</v>
      </c>
      <c r="HQ281" s="41" t="e">
        <f t="shared" si="224"/>
        <v>#DIV/0!</v>
      </c>
      <c r="HR281" s="41" t="e">
        <f t="shared" si="224"/>
        <v>#DIV/0!</v>
      </c>
      <c r="HS281" s="41" t="e">
        <f t="shared" si="224"/>
        <v>#DIV/0!</v>
      </c>
      <c r="HT281" s="41" t="e">
        <f t="shared" si="224"/>
        <v>#DIV/0!</v>
      </c>
      <c r="HU281" s="41" t="e">
        <f t="shared" si="224"/>
        <v>#DIV/0!</v>
      </c>
      <c r="HV281" s="41" t="e">
        <f t="shared" si="224"/>
        <v>#DIV/0!</v>
      </c>
      <c r="HW281" s="41" t="e">
        <f t="shared" si="224"/>
        <v>#DIV/0!</v>
      </c>
      <c r="HX281" s="41" t="e">
        <f t="shared" si="224"/>
        <v>#DIV/0!</v>
      </c>
      <c r="HY281" s="41" t="e">
        <f t="shared" si="224"/>
        <v>#DIV/0!</v>
      </c>
      <c r="HZ281" s="41" t="e">
        <f t="shared" si="224"/>
        <v>#DIV/0!</v>
      </c>
      <c r="IA281" s="41" t="e">
        <f t="shared" si="224"/>
        <v>#DIV/0!</v>
      </c>
      <c r="IB281" s="41" t="e">
        <f t="shared" si="224"/>
        <v>#DIV/0!</v>
      </c>
      <c r="IC281" s="41" t="e">
        <f t="shared" si="224"/>
        <v>#DIV/0!</v>
      </c>
      <c r="ID281" s="41" t="e">
        <f t="shared" si="224"/>
        <v>#DIV/0!</v>
      </c>
      <c r="IE281" s="41" t="e">
        <f t="shared" si="224"/>
        <v>#DIV/0!</v>
      </c>
      <c r="IF281" s="41" t="e">
        <f t="shared" si="224"/>
        <v>#DIV/0!</v>
      </c>
      <c r="IG281" s="41" t="e">
        <f t="shared" si="224"/>
        <v>#DIV/0!</v>
      </c>
      <c r="IH281" s="41" t="e">
        <f t="shared" si="224"/>
        <v>#DIV/0!</v>
      </c>
      <c r="II281" s="41" t="e">
        <f t="shared" si="224"/>
        <v>#DIV/0!</v>
      </c>
      <c r="IJ281" s="41" t="e">
        <f t="shared" si="224"/>
        <v>#DIV/0!</v>
      </c>
      <c r="IK281" s="41" t="e">
        <f t="shared" si="224"/>
        <v>#DIV/0!</v>
      </c>
      <c r="IL281" s="41" t="e">
        <f t="shared" si="224"/>
        <v>#DIV/0!</v>
      </c>
      <c r="IM281" s="41" t="e">
        <f t="shared" si="224"/>
        <v>#DIV/0!</v>
      </c>
      <c r="IN281" s="41" t="e">
        <f t="shared" si="224"/>
        <v>#DIV/0!</v>
      </c>
      <c r="IO281" s="41" t="e">
        <f t="shared" si="224"/>
        <v>#DIV/0!</v>
      </c>
      <c r="IP281" s="41" t="e">
        <f t="shared" si="224"/>
        <v>#DIV/0!</v>
      </c>
      <c r="IQ281" s="41" t="e">
        <f t="shared" si="224"/>
        <v>#DIV/0!</v>
      </c>
      <c r="IR281" s="41" t="e">
        <f t="shared" si="224"/>
        <v>#DIV/0!</v>
      </c>
      <c r="IS281" s="41" t="e">
        <f t="shared" si="224"/>
        <v>#DIV/0!</v>
      </c>
      <c r="IT281" s="41" t="e">
        <f t="shared" si="224"/>
        <v>#DIV/0!</v>
      </c>
      <c r="IU281" s="41" t="e">
        <f t="shared" si="224"/>
        <v>#DIV/0!</v>
      </c>
      <c r="IV281" s="41" t="e">
        <f t="shared" si="224"/>
        <v>#DIV/0!</v>
      </c>
    </row>
    <row r="282" spans="27:182" ht="13.5" customHeight="1">
      <c r="AA282" s="41"/>
      <c r="FZ282" s="41"/>
    </row>
    <row r="283" spans="1:256" ht="13.5" customHeight="1">
      <c r="A283" s="116" t="s">
        <v>232</v>
      </c>
      <c r="B283" s="41">
        <f aca="true" t="shared" si="225" ref="B283:Z283">B244-B275</f>
        <v>1395.2098800390613</v>
      </c>
      <c r="C283" s="41">
        <f t="shared" si="225"/>
        <v>314.5572405983763</v>
      </c>
      <c r="D283" s="41">
        <f t="shared" si="225"/>
        <v>128.52147827783963</v>
      </c>
      <c r="E283" s="41">
        <f t="shared" si="225"/>
        <v>59.466456445591724</v>
      </c>
      <c r="F283" s="41">
        <f t="shared" si="225"/>
        <v>28.454325881021653</v>
      </c>
      <c r="G283" s="41">
        <f t="shared" si="225"/>
        <v>12.211821630304351</v>
      </c>
      <c r="H283" s="41">
        <f t="shared" si="225"/>
        <v>2.1626902761691813</v>
      </c>
      <c r="I283" s="41">
        <f t="shared" si="225"/>
        <v>-4.529886612337544</v>
      </c>
      <c r="J283" s="41">
        <f t="shared" si="225"/>
        <v>-8.279758288488406</v>
      </c>
      <c r="K283" s="41">
        <f t="shared" si="225"/>
        <v>-8.863169125322214</v>
      </c>
      <c r="L283" s="41">
        <f t="shared" si="225"/>
        <v>-6.466041317292192</v>
      </c>
      <c r="M283" s="41">
        <f t="shared" si="225"/>
        <v>-2.2116529394813025</v>
      </c>
      <c r="N283" s="41">
        <f t="shared" si="225"/>
        <v>0.8563799784863527</v>
      </c>
      <c r="O283" s="41">
        <f t="shared" si="225"/>
        <v>17.140138730361915</v>
      </c>
      <c r="P283" s="41">
        <f t="shared" si="225"/>
        <v>5.148026619314029</v>
      </c>
      <c r="Q283" s="41">
        <f t="shared" si="225"/>
        <v>-5.810365734936979</v>
      </c>
      <c r="R283" s="41">
        <f t="shared" si="225"/>
        <v>-12.042996161357229</v>
      </c>
      <c r="S283" s="41">
        <f t="shared" si="225"/>
        <v>8.348544811904297</v>
      </c>
      <c r="T283" s="41">
        <f t="shared" si="225"/>
        <v>54.56843271114605</v>
      </c>
      <c r="U283" s="41">
        <f t="shared" si="225"/>
        <v>79.43604274408682</v>
      </c>
      <c r="V283" s="41">
        <f t="shared" si="225"/>
        <v>44.59136042206086</v>
      </c>
      <c r="W283" s="41">
        <f t="shared" si="225"/>
        <v>-80.48591662604103</v>
      </c>
      <c r="X283" s="41">
        <f t="shared" si="225"/>
        <v>-407.624902398944</v>
      </c>
      <c r="Y283" s="41">
        <f t="shared" si="225"/>
        <v>-1588.6450078461005</v>
      </c>
      <c r="Z283" s="41">
        <f t="shared" si="225"/>
        <v>2506.8843586636194</v>
      </c>
      <c r="AA283" s="41"/>
      <c r="FZ283" s="41"/>
      <c r="GB283" s="41" t="e">
        <f aca="true" t="shared" si="226" ref="GB283:GL283">GB244-GB275</f>
        <v>#DIV/0!</v>
      </c>
      <c r="GC283" s="41" t="e">
        <f t="shared" si="226"/>
        <v>#DIV/0!</v>
      </c>
      <c r="GD283" s="41" t="e">
        <f t="shared" si="226"/>
        <v>#DIV/0!</v>
      </c>
      <c r="GE283" s="41" t="e">
        <f t="shared" si="226"/>
        <v>#DIV/0!</v>
      </c>
      <c r="GF283" s="41" t="e">
        <f t="shared" si="226"/>
        <v>#DIV/0!</v>
      </c>
      <c r="GG283" s="41" t="e">
        <f t="shared" si="226"/>
        <v>#DIV/0!</v>
      </c>
      <c r="GH283" s="41" t="e">
        <f t="shared" si="226"/>
        <v>#DIV/0!</v>
      </c>
      <c r="GI283" s="41" t="e">
        <f t="shared" si="226"/>
        <v>#DIV/0!</v>
      </c>
      <c r="GJ283" s="41" t="e">
        <f t="shared" si="226"/>
        <v>#DIV/0!</v>
      </c>
      <c r="GK283" s="41" t="e">
        <f t="shared" si="226"/>
        <v>#DIV/0!</v>
      </c>
      <c r="GL283" s="41" t="e">
        <f t="shared" si="226"/>
        <v>#DIV/0!</v>
      </c>
      <c r="GM283" s="41" t="e">
        <f aca="true" t="shared" si="227" ref="GM283:IV283">GM244-GM275</f>
        <v>#DIV/0!</v>
      </c>
      <c r="GN283" s="41" t="e">
        <f t="shared" si="227"/>
        <v>#DIV/0!</v>
      </c>
      <c r="GO283" s="41" t="e">
        <f t="shared" si="227"/>
        <v>#DIV/0!</v>
      </c>
      <c r="GP283" s="41" t="e">
        <f t="shared" si="227"/>
        <v>#DIV/0!</v>
      </c>
      <c r="GQ283" s="41" t="e">
        <f t="shared" si="227"/>
        <v>#DIV/0!</v>
      </c>
      <c r="GR283" s="41" t="e">
        <f t="shared" si="227"/>
        <v>#DIV/0!</v>
      </c>
      <c r="GS283" s="41" t="e">
        <f t="shared" si="227"/>
        <v>#DIV/0!</v>
      </c>
      <c r="GT283" s="41" t="e">
        <f t="shared" si="227"/>
        <v>#DIV/0!</v>
      </c>
      <c r="GU283" s="41" t="e">
        <f t="shared" si="227"/>
        <v>#DIV/0!</v>
      </c>
      <c r="GV283" s="41" t="e">
        <f t="shared" si="227"/>
        <v>#DIV/0!</v>
      </c>
      <c r="GW283" s="41" t="e">
        <f t="shared" si="227"/>
        <v>#DIV/0!</v>
      </c>
      <c r="GX283" s="41" t="e">
        <f t="shared" si="227"/>
        <v>#DIV/0!</v>
      </c>
      <c r="GY283" s="41" t="e">
        <f t="shared" si="227"/>
        <v>#DIV/0!</v>
      </c>
      <c r="GZ283" s="41" t="e">
        <f t="shared" si="227"/>
        <v>#DIV/0!</v>
      </c>
      <c r="HA283" s="41" t="e">
        <f t="shared" si="227"/>
        <v>#DIV/0!</v>
      </c>
      <c r="HB283" s="41" t="e">
        <f t="shared" si="227"/>
        <v>#DIV/0!</v>
      </c>
      <c r="HC283" s="41" t="e">
        <f t="shared" si="227"/>
        <v>#DIV/0!</v>
      </c>
      <c r="HD283" s="41" t="e">
        <f t="shared" si="227"/>
        <v>#DIV/0!</v>
      </c>
      <c r="HE283" s="41" t="e">
        <f t="shared" si="227"/>
        <v>#DIV/0!</v>
      </c>
      <c r="HF283" s="41" t="e">
        <f t="shared" si="227"/>
        <v>#DIV/0!</v>
      </c>
      <c r="HG283" s="41" t="e">
        <f t="shared" si="227"/>
        <v>#DIV/0!</v>
      </c>
      <c r="HH283" s="41" t="e">
        <f t="shared" si="227"/>
        <v>#DIV/0!</v>
      </c>
      <c r="HI283" s="41" t="e">
        <f t="shared" si="227"/>
        <v>#DIV/0!</v>
      </c>
      <c r="HJ283" s="41" t="e">
        <f t="shared" si="227"/>
        <v>#DIV/0!</v>
      </c>
      <c r="HK283" s="41" t="e">
        <f t="shared" si="227"/>
        <v>#DIV/0!</v>
      </c>
      <c r="HL283" s="41" t="e">
        <f t="shared" si="227"/>
        <v>#DIV/0!</v>
      </c>
      <c r="HM283" s="41" t="e">
        <f t="shared" si="227"/>
        <v>#DIV/0!</v>
      </c>
      <c r="HN283" s="41" t="e">
        <f t="shared" si="227"/>
        <v>#DIV/0!</v>
      </c>
      <c r="HO283" s="41" t="e">
        <f t="shared" si="227"/>
        <v>#DIV/0!</v>
      </c>
      <c r="HP283" s="41" t="e">
        <f t="shared" si="227"/>
        <v>#DIV/0!</v>
      </c>
      <c r="HQ283" s="41" t="e">
        <f t="shared" si="227"/>
        <v>#DIV/0!</v>
      </c>
      <c r="HR283" s="41" t="e">
        <f t="shared" si="227"/>
        <v>#DIV/0!</v>
      </c>
      <c r="HS283" s="41" t="e">
        <f t="shared" si="227"/>
        <v>#DIV/0!</v>
      </c>
      <c r="HT283" s="41" t="e">
        <f t="shared" si="227"/>
        <v>#DIV/0!</v>
      </c>
      <c r="HU283" s="41" t="e">
        <f t="shared" si="227"/>
        <v>#DIV/0!</v>
      </c>
      <c r="HV283" s="41" t="e">
        <f t="shared" si="227"/>
        <v>#DIV/0!</v>
      </c>
      <c r="HW283" s="41" t="e">
        <f t="shared" si="227"/>
        <v>#DIV/0!</v>
      </c>
      <c r="HX283" s="41" t="e">
        <f t="shared" si="227"/>
        <v>#DIV/0!</v>
      </c>
      <c r="HY283" s="41" t="e">
        <f t="shared" si="227"/>
        <v>#DIV/0!</v>
      </c>
      <c r="HZ283" s="41" t="e">
        <f t="shared" si="227"/>
        <v>#DIV/0!</v>
      </c>
      <c r="IA283" s="41" t="e">
        <f t="shared" si="227"/>
        <v>#DIV/0!</v>
      </c>
      <c r="IB283" s="41" t="e">
        <f t="shared" si="227"/>
        <v>#DIV/0!</v>
      </c>
      <c r="IC283" s="41" t="e">
        <f t="shared" si="227"/>
        <v>#DIV/0!</v>
      </c>
      <c r="ID283" s="41" t="e">
        <f t="shared" si="227"/>
        <v>#DIV/0!</v>
      </c>
      <c r="IE283" s="41" t="e">
        <f t="shared" si="227"/>
        <v>#DIV/0!</v>
      </c>
      <c r="IF283" s="41" t="e">
        <f t="shared" si="227"/>
        <v>#DIV/0!</v>
      </c>
      <c r="IG283" s="41" t="e">
        <f t="shared" si="227"/>
        <v>#DIV/0!</v>
      </c>
      <c r="IH283" s="41" t="e">
        <f t="shared" si="227"/>
        <v>#DIV/0!</v>
      </c>
      <c r="II283" s="41" t="e">
        <f t="shared" si="227"/>
        <v>#DIV/0!</v>
      </c>
      <c r="IJ283" s="41" t="e">
        <f t="shared" si="227"/>
        <v>#DIV/0!</v>
      </c>
      <c r="IK283" s="41" t="e">
        <f t="shared" si="227"/>
        <v>#DIV/0!</v>
      </c>
      <c r="IL283" s="41" t="e">
        <f t="shared" si="227"/>
        <v>#DIV/0!</v>
      </c>
      <c r="IM283" s="41" t="e">
        <f t="shared" si="227"/>
        <v>#DIV/0!</v>
      </c>
      <c r="IN283" s="41" t="e">
        <f t="shared" si="227"/>
        <v>#DIV/0!</v>
      </c>
      <c r="IO283" s="41" t="e">
        <f t="shared" si="227"/>
        <v>#DIV/0!</v>
      </c>
      <c r="IP283" s="41" t="e">
        <f t="shared" si="227"/>
        <v>#DIV/0!</v>
      </c>
      <c r="IQ283" s="41" t="e">
        <f t="shared" si="227"/>
        <v>#DIV/0!</v>
      </c>
      <c r="IR283" s="41" t="e">
        <f t="shared" si="227"/>
        <v>#DIV/0!</v>
      </c>
      <c r="IS283" s="41" t="e">
        <f t="shared" si="227"/>
        <v>#DIV/0!</v>
      </c>
      <c r="IT283" s="41" t="e">
        <f t="shared" si="227"/>
        <v>#DIV/0!</v>
      </c>
      <c r="IU283" s="41" t="e">
        <f t="shared" si="227"/>
        <v>#DIV/0!</v>
      </c>
      <c r="IV283" s="41" t="e">
        <f t="shared" si="227"/>
        <v>#DIV/0!</v>
      </c>
    </row>
    <row r="284" spans="1:256" ht="13.5" customHeight="1">
      <c r="A284" s="116" t="s">
        <v>233</v>
      </c>
      <c r="B284" s="41">
        <f aca="true" t="shared" si="228" ref="B284:Z284">B245-B276</f>
        <v>90.19438128260174</v>
      </c>
      <c r="C284" s="41">
        <f t="shared" si="228"/>
        <v>143.40877783281746</v>
      </c>
      <c r="D284" s="41">
        <f t="shared" si="228"/>
        <v>113.22113625855704</v>
      </c>
      <c r="E284" s="41">
        <f t="shared" si="228"/>
        <v>85.2558717088416</v>
      </c>
      <c r="F284" s="41">
        <f t="shared" si="228"/>
        <v>62.922900918651</v>
      </c>
      <c r="G284" s="41">
        <f t="shared" si="228"/>
        <v>38.32869059789683</v>
      </c>
      <c r="H284" s="41">
        <f t="shared" si="228"/>
        <v>-4.541887750951217</v>
      </c>
      <c r="I284" s="41">
        <f t="shared" si="228"/>
        <v>-108.65009070903824</v>
      </c>
      <c r="J284" s="41">
        <f t="shared" si="228"/>
        <v>-659.7554783947662</v>
      </c>
      <c r="K284" s="41">
        <f t="shared" si="228"/>
        <v>627.1156452192064</v>
      </c>
      <c r="L284" s="41">
        <f t="shared" si="228"/>
        <v>209.1151128314704</v>
      </c>
      <c r="M284" s="41">
        <f t="shared" si="228"/>
        <v>56.438682967452394</v>
      </c>
      <c r="N284" s="41">
        <f t="shared" si="228"/>
        <v>-5.241119375849459</v>
      </c>
      <c r="O284" s="41">
        <f t="shared" si="228"/>
        <v>90.7044840940252</v>
      </c>
      <c r="P284" s="41">
        <f t="shared" si="228"/>
        <v>67.04676810904098</v>
      </c>
      <c r="Q284" s="41">
        <f t="shared" si="228"/>
        <v>-55.690293232228846</v>
      </c>
      <c r="R284" s="41">
        <f t="shared" si="228"/>
        <v>-94.87601312707638</v>
      </c>
      <c r="S284" s="41">
        <f t="shared" si="228"/>
        <v>135.59100724304272</v>
      </c>
      <c r="T284" s="41">
        <f t="shared" si="228"/>
        <v>696.0216024275455</v>
      </c>
      <c r="U284" s="41">
        <f t="shared" si="228"/>
        <v>1697.3469724751344</v>
      </c>
      <c r="V284" s="41">
        <f t="shared" si="228"/>
        <v>-1349.6360475365138</v>
      </c>
      <c r="W284" s="41">
        <f t="shared" si="228"/>
        <v>290.2935913445546</v>
      </c>
      <c r="X284" s="41">
        <f t="shared" si="228"/>
        <v>504.165499119789</v>
      </c>
      <c r="Y284" s="41">
        <f t="shared" si="228"/>
        <v>625.8224723534016</v>
      </c>
      <c r="Z284" s="41">
        <f t="shared" si="228"/>
        <v>165.84937729364287</v>
      </c>
      <c r="AA284" s="41"/>
      <c r="FZ284" s="41"/>
      <c r="GB284" s="41" t="e">
        <f aca="true" t="shared" si="229" ref="GB284:GL284">GB245-GB276</f>
        <v>#DIV/0!</v>
      </c>
      <c r="GC284" s="41" t="e">
        <f t="shared" si="229"/>
        <v>#DIV/0!</v>
      </c>
      <c r="GD284" s="41" t="e">
        <f t="shared" si="229"/>
        <v>#DIV/0!</v>
      </c>
      <c r="GE284" s="41" t="e">
        <f t="shared" si="229"/>
        <v>#DIV/0!</v>
      </c>
      <c r="GF284" s="41" t="e">
        <f t="shared" si="229"/>
        <v>#DIV/0!</v>
      </c>
      <c r="GG284" s="41" t="e">
        <f t="shared" si="229"/>
        <v>#DIV/0!</v>
      </c>
      <c r="GH284" s="41" t="e">
        <f t="shared" si="229"/>
        <v>#DIV/0!</v>
      </c>
      <c r="GI284" s="41" t="e">
        <f t="shared" si="229"/>
        <v>#DIV/0!</v>
      </c>
      <c r="GJ284" s="41" t="e">
        <f t="shared" si="229"/>
        <v>#DIV/0!</v>
      </c>
      <c r="GK284" s="41" t="e">
        <f t="shared" si="229"/>
        <v>#DIV/0!</v>
      </c>
      <c r="GL284" s="41" t="e">
        <f t="shared" si="229"/>
        <v>#DIV/0!</v>
      </c>
      <c r="GM284" s="41" t="e">
        <f aca="true" t="shared" si="230" ref="GM284:IV284">GM245-GM276</f>
        <v>#DIV/0!</v>
      </c>
      <c r="GN284" s="41" t="e">
        <f t="shared" si="230"/>
        <v>#DIV/0!</v>
      </c>
      <c r="GO284" s="41" t="e">
        <f t="shared" si="230"/>
        <v>#DIV/0!</v>
      </c>
      <c r="GP284" s="41" t="e">
        <f t="shared" si="230"/>
        <v>#DIV/0!</v>
      </c>
      <c r="GQ284" s="41" t="e">
        <f t="shared" si="230"/>
        <v>#DIV/0!</v>
      </c>
      <c r="GR284" s="41" t="e">
        <f t="shared" si="230"/>
        <v>#DIV/0!</v>
      </c>
      <c r="GS284" s="41" t="e">
        <f t="shared" si="230"/>
        <v>#DIV/0!</v>
      </c>
      <c r="GT284" s="41" t="e">
        <f t="shared" si="230"/>
        <v>#DIV/0!</v>
      </c>
      <c r="GU284" s="41" t="e">
        <f t="shared" si="230"/>
        <v>#DIV/0!</v>
      </c>
      <c r="GV284" s="41" t="e">
        <f t="shared" si="230"/>
        <v>#DIV/0!</v>
      </c>
      <c r="GW284" s="41" t="e">
        <f t="shared" si="230"/>
        <v>#DIV/0!</v>
      </c>
      <c r="GX284" s="41" t="e">
        <f t="shared" si="230"/>
        <v>#DIV/0!</v>
      </c>
      <c r="GY284" s="41" t="e">
        <f t="shared" si="230"/>
        <v>#DIV/0!</v>
      </c>
      <c r="GZ284" s="41" t="e">
        <f t="shared" si="230"/>
        <v>#DIV/0!</v>
      </c>
      <c r="HA284" s="41" t="e">
        <f t="shared" si="230"/>
        <v>#DIV/0!</v>
      </c>
      <c r="HB284" s="41" t="e">
        <f t="shared" si="230"/>
        <v>#DIV/0!</v>
      </c>
      <c r="HC284" s="41" t="e">
        <f t="shared" si="230"/>
        <v>#DIV/0!</v>
      </c>
      <c r="HD284" s="41" t="e">
        <f t="shared" si="230"/>
        <v>#DIV/0!</v>
      </c>
      <c r="HE284" s="41" t="e">
        <f t="shared" si="230"/>
        <v>#DIV/0!</v>
      </c>
      <c r="HF284" s="41" t="e">
        <f t="shared" si="230"/>
        <v>#DIV/0!</v>
      </c>
      <c r="HG284" s="41" t="e">
        <f t="shared" si="230"/>
        <v>#DIV/0!</v>
      </c>
      <c r="HH284" s="41" t="e">
        <f t="shared" si="230"/>
        <v>#DIV/0!</v>
      </c>
      <c r="HI284" s="41" t="e">
        <f t="shared" si="230"/>
        <v>#DIV/0!</v>
      </c>
      <c r="HJ284" s="41" t="e">
        <f t="shared" si="230"/>
        <v>#DIV/0!</v>
      </c>
      <c r="HK284" s="41" t="e">
        <f t="shared" si="230"/>
        <v>#DIV/0!</v>
      </c>
      <c r="HL284" s="41" t="e">
        <f t="shared" si="230"/>
        <v>#DIV/0!</v>
      </c>
      <c r="HM284" s="41" t="e">
        <f t="shared" si="230"/>
        <v>#DIV/0!</v>
      </c>
      <c r="HN284" s="41" t="e">
        <f t="shared" si="230"/>
        <v>#DIV/0!</v>
      </c>
      <c r="HO284" s="41" t="e">
        <f t="shared" si="230"/>
        <v>#DIV/0!</v>
      </c>
      <c r="HP284" s="41" t="e">
        <f t="shared" si="230"/>
        <v>#DIV/0!</v>
      </c>
      <c r="HQ284" s="41" t="e">
        <f t="shared" si="230"/>
        <v>#DIV/0!</v>
      </c>
      <c r="HR284" s="41" t="e">
        <f t="shared" si="230"/>
        <v>#DIV/0!</v>
      </c>
      <c r="HS284" s="41" t="e">
        <f t="shared" si="230"/>
        <v>#DIV/0!</v>
      </c>
      <c r="HT284" s="41" t="e">
        <f t="shared" si="230"/>
        <v>#DIV/0!</v>
      </c>
      <c r="HU284" s="41" t="e">
        <f t="shared" si="230"/>
        <v>#DIV/0!</v>
      </c>
      <c r="HV284" s="41" t="e">
        <f t="shared" si="230"/>
        <v>#DIV/0!</v>
      </c>
      <c r="HW284" s="41" t="e">
        <f t="shared" si="230"/>
        <v>#DIV/0!</v>
      </c>
      <c r="HX284" s="41" t="e">
        <f t="shared" si="230"/>
        <v>#DIV/0!</v>
      </c>
      <c r="HY284" s="41" t="e">
        <f t="shared" si="230"/>
        <v>#DIV/0!</v>
      </c>
      <c r="HZ284" s="41" t="e">
        <f t="shared" si="230"/>
        <v>#DIV/0!</v>
      </c>
      <c r="IA284" s="41" t="e">
        <f t="shared" si="230"/>
        <v>#DIV/0!</v>
      </c>
      <c r="IB284" s="41" t="e">
        <f t="shared" si="230"/>
        <v>#DIV/0!</v>
      </c>
      <c r="IC284" s="41" t="e">
        <f t="shared" si="230"/>
        <v>#DIV/0!</v>
      </c>
      <c r="ID284" s="41" t="e">
        <f t="shared" si="230"/>
        <v>#DIV/0!</v>
      </c>
      <c r="IE284" s="41" t="e">
        <f t="shared" si="230"/>
        <v>#DIV/0!</v>
      </c>
      <c r="IF284" s="41" t="e">
        <f t="shared" si="230"/>
        <v>#DIV/0!</v>
      </c>
      <c r="IG284" s="41" t="e">
        <f t="shared" si="230"/>
        <v>#DIV/0!</v>
      </c>
      <c r="IH284" s="41" t="e">
        <f t="shared" si="230"/>
        <v>#DIV/0!</v>
      </c>
      <c r="II284" s="41" t="e">
        <f t="shared" si="230"/>
        <v>#DIV/0!</v>
      </c>
      <c r="IJ284" s="41" t="e">
        <f t="shared" si="230"/>
        <v>#DIV/0!</v>
      </c>
      <c r="IK284" s="41" t="e">
        <f t="shared" si="230"/>
        <v>#DIV/0!</v>
      </c>
      <c r="IL284" s="41" t="e">
        <f t="shared" si="230"/>
        <v>#DIV/0!</v>
      </c>
      <c r="IM284" s="41" t="e">
        <f t="shared" si="230"/>
        <v>#DIV/0!</v>
      </c>
      <c r="IN284" s="41" t="e">
        <f t="shared" si="230"/>
        <v>#DIV/0!</v>
      </c>
      <c r="IO284" s="41" t="e">
        <f t="shared" si="230"/>
        <v>#DIV/0!</v>
      </c>
      <c r="IP284" s="41" t="e">
        <f t="shared" si="230"/>
        <v>#DIV/0!</v>
      </c>
      <c r="IQ284" s="41" t="e">
        <f t="shared" si="230"/>
        <v>#DIV/0!</v>
      </c>
      <c r="IR284" s="41" t="e">
        <f t="shared" si="230"/>
        <v>#DIV/0!</v>
      </c>
      <c r="IS284" s="41" t="e">
        <f t="shared" si="230"/>
        <v>#DIV/0!</v>
      </c>
      <c r="IT284" s="41" t="e">
        <f t="shared" si="230"/>
        <v>#DIV/0!</v>
      </c>
      <c r="IU284" s="41" t="e">
        <f t="shared" si="230"/>
        <v>#DIV/0!</v>
      </c>
      <c r="IV284" s="41" t="e">
        <f t="shared" si="230"/>
        <v>#DIV/0!</v>
      </c>
    </row>
    <row r="285" spans="1:256" ht="13.5" customHeight="1" thickBot="1">
      <c r="A285" s="104" t="s">
        <v>186</v>
      </c>
      <c r="B285" s="41">
        <f aca="true" t="shared" si="231" ref="B285:Z285">B283*B242+B284*B243-B238</f>
        <v>0</v>
      </c>
      <c r="C285" s="41">
        <f t="shared" si="231"/>
        <v>0</v>
      </c>
      <c r="D285" s="41">
        <f t="shared" si="231"/>
        <v>0</v>
      </c>
      <c r="E285" s="41">
        <f t="shared" si="231"/>
        <v>0</v>
      </c>
      <c r="F285" s="41">
        <f t="shared" si="231"/>
        <v>0</v>
      </c>
      <c r="G285" s="41">
        <f t="shared" si="231"/>
        <v>0</v>
      </c>
      <c r="H285" s="41">
        <f t="shared" si="231"/>
        <v>0</v>
      </c>
      <c r="I285" s="41">
        <f t="shared" si="231"/>
        <v>0</v>
      </c>
      <c r="J285" s="41">
        <f t="shared" si="231"/>
        <v>0</v>
      </c>
      <c r="K285" s="41">
        <f t="shared" si="231"/>
        <v>0</v>
      </c>
      <c r="L285" s="41">
        <f t="shared" si="231"/>
        <v>0</v>
      </c>
      <c r="M285" s="41">
        <f t="shared" si="231"/>
        <v>0</v>
      </c>
      <c r="N285" s="41">
        <f t="shared" si="231"/>
        <v>-2.498001805406602E-16</v>
      </c>
      <c r="O285" s="41">
        <f t="shared" si="231"/>
        <v>0</v>
      </c>
      <c r="P285" s="41">
        <f t="shared" si="231"/>
        <v>0</v>
      </c>
      <c r="Q285" s="41">
        <f t="shared" si="231"/>
        <v>0</v>
      </c>
      <c r="R285" s="41">
        <f t="shared" si="231"/>
        <v>0</v>
      </c>
      <c r="S285" s="41">
        <f t="shared" si="231"/>
        <v>0</v>
      </c>
      <c r="T285" s="41">
        <f t="shared" si="231"/>
        <v>0</v>
      </c>
      <c r="U285" s="41">
        <f t="shared" si="231"/>
        <v>0</v>
      </c>
      <c r="V285" s="41">
        <f t="shared" si="231"/>
        <v>0</v>
      </c>
      <c r="W285" s="41">
        <f t="shared" si="231"/>
        <v>0</v>
      </c>
      <c r="X285" s="41">
        <f t="shared" si="231"/>
        <v>0</v>
      </c>
      <c r="Y285" s="41">
        <f t="shared" si="231"/>
        <v>0</v>
      </c>
      <c r="Z285" s="41">
        <f t="shared" si="231"/>
        <v>80.45051831775356</v>
      </c>
      <c r="AA285" s="41"/>
      <c r="FZ285" s="41"/>
      <c r="GB285" s="41" t="e">
        <f aca="true" t="shared" si="232" ref="GB285:GL285">GB283*GB242+GB284*GB243-GB238</f>
        <v>#DIV/0!</v>
      </c>
      <c r="GC285" s="41" t="e">
        <f t="shared" si="232"/>
        <v>#DIV/0!</v>
      </c>
      <c r="GD285" s="41" t="e">
        <f t="shared" si="232"/>
        <v>#DIV/0!</v>
      </c>
      <c r="GE285" s="41" t="e">
        <f t="shared" si="232"/>
        <v>#DIV/0!</v>
      </c>
      <c r="GF285" s="41" t="e">
        <f t="shared" si="232"/>
        <v>#DIV/0!</v>
      </c>
      <c r="GG285" s="41" t="e">
        <f t="shared" si="232"/>
        <v>#DIV/0!</v>
      </c>
      <c r="GH285" s="41" t="e">
        <f t="shared" si="232"/>
        <v>#DIV/0!</v>
      </c>
      <c r="GI285" s="41" t="e">
        <f t="shared" si="232"/>
        <v>#DIV/0!</v>
      </c>
      <c r="GJ285" s="41" t="e">
        <f t="shared" si="232"/>
        <v>#DIV/0!</v>
      </c>
      <c r="GK285" s="41" t="e">
        <f t="shared" si="232"/>
        <v>#DIV/0!</v>
      </c>
      <c r="GL285" s="41" t="e">
        <f t="shared" si="232"/>
        <v>#DIV/0!</v>
      </c>
      <c r="GM285" s="41" t="e">
        <f aca="true" t="shared" si="233" ref="GM285:IV285">GM283*GM242+GM284*GM243-GM238</f>
        <v>#DIV/0!</v>
      </c>
      <c r="GN285" s="41" t="e">
        <f t="shared" si="233"/>
        <v>#DIV/0!</v>
      </c>
      <c r="GO285" s="41" t="e">
        <f t="shared" si="233"/>
        <v>#DIV/0!</v>
      </c>
      <c r="GP285" s="41" t="e">
        <f t="shared" si="233"/>
        <v>#DIV/0!</v>
      </c>
      <c r="GQ285" s="41" t="e">
        <f t="shared" si="233"/>
        <v>#DIV/0!</v>
      </c>
      <c r="GR285" s="41" t="e">
        <f t="shared" si="233"/>
        <v>#DIV/0!</v>
      </c>
      <c r="GS285" s="41" t="e">
        <f t="shared" si="233"/>
        <v>#DIV/0!</v>
      </c>
      <c r="GT285" s="41" t="e">
        <f t="shared" si="233"/>
        <v>#DIV/0!</v>
      </c>
      <c r="GU285" s="41" t="e">
        <f t="shared" si="233"/>
        <v>#DIV/0!</v>
      </c>
      <c r="GV285" s="41" t="e">
        <f t="shared" si="233"/>
        <v>#DIV/0!</v>
      </c>
      <c r="GW285" s="41" t="e">
        <f t="shared" si="233"/>
        <v>#DIV/0!</v>
      </c>
      <c r="GX285" s="41" t="e">
        <f t="shared" si="233"/>
        <v>#DIV/0!</v>
      </c>
      <c r="GY285" s="41" t="e">
        <f t="shared" si="233"/>
        <v>#DIV/0!</v>
      </c>
      <c r="GZ285" s="41" t="e">
        <f t="shared" si="233"/>
        <v>#DIV/0!</v>
      </c>
      <c r="HA285" s="41" t="e">
        <f t="shared" si="233"/>
        <v>#DIV/0!</v>
      </c>
      <c r="HB285" s="41" t="e">
        <f t="shared" si="233"/>
        <v>#DIV/0!</v>
      </c>
      <c r="HC285" s="41" t="e">
        <f t="shared" si="233"/>
        <v>#DIV/0!</v>
      </c>
      <c r="HD285" s="41" t="e">
        <f t="shared" si="233"/>
        <v>#DIV/0!</v>
      </c>
      <c r="HE285" s="41" t="e">
        <f t="shared" si="233"/>
        <v>#DIV/0!</v>
      </c>
      <c r="HF285" s="41" t="e">
        <f t="shared" si="233"/>
        <v>#DIV/0!</v>
      </c>
      <c r="HG285" s="41" t="e">
        <f t="shared" si="233"/>
        <v>#DIV/0!</v>
      </c>
      <c r="HH285" s="41" t="e">
        <f t="shared" si="233"/>
        <v>#DIV/0!</v>
      </c>
      <c r="HI285" s="41" t="e">
        <f t="shared" si="233"/>
        <v>#DIV/0!</v>
      </c>
      <c r="HJ285" s="41" t="e">
        <f t="shared" si="233"/>
        <v>#DIV/0!</v>
      </c>
      <c r="HK285" s="41" t="e">
        <f t="shared" si="233"/>
        <v>#DIV/0!</v>
      </c>
      <c r="HL285" s="41" t="e">
        <f t="shared" si="233"/>
        <v>#DIV/0!</v>
      </c>
      <c r="HM285" s="41" t="e">
        <f t="shared" si="233"/>
        <v>#DIV/0!</v>
      </c>
      <c r="HN285" s="41" t="e">
        <f t="shared" si="233"/>
        <v>#DIV/0!</v>
      </c>
      <c r="HO285" s="41" t="e">
        <f t="shared" si="233"/>
        <v>#DIV/0!</v>
      </c>
      <c r="HP285" s="41" t="e">
        <f t="shared" si="233"/>
        <v>#DIV/0!</v>
      </c>
      <c r="HQ285" s="41" t="e">
        <f t="shared" si="233"/>
        <v>#DIV/0!</v>
      </c>
      <c r="HR285" s="41" t="e">
        <f t="shared" si="233"/>
        <v>#DIV/0!</v>
      </c>
      <c r="HS285" s="41" t="e">
        <f t="shared" si="233"/>
        <v>#DIV/0!</v>
      </c>
      <c r="HT285" s="41" t="e">
        <f t="shared" si="233"/>
        <v>#DIV/0!</v>
      </c>
      <c r="HU285" s="41" t="e">
        <f t="shared" si="233"/>
        <v>#DIV/0!</v>
      </c>
      <c r="HV285" s="41" t="e">
        <f t="shared" si="233"/>
        <v>#DIV/0!</v>
      </c>
      <c r="HW285" s="41" t="e">
        <f t="shared" si="233"/>
        <v>#DIV/0!</v>
      </c>
      <c r="HX285" s="41" t="e">
        <f t="shared" si="233"/>
        <v>#DIV/0!</v>
      </c>
      <c r="HY285" s="41" t="e">
        <f t="shared" si="233"/>
        <v>#DIV/0!</v>
      </c>
      <c r="HZ285" s="41" t="e">
        <f t="shared" si="233"/>
        <v>#DIV/0!</v>
      </c>
      <c r="IA285" s="41" t="e">
        <f t="shared" si="233"/>
        <v>#DIV/0!</v>
      </c>
      <c r="IB285" s="41" t="e">
        <f t="shared" si="233"/>
        <v>#DIV/0!</v>
      </c>
      <c r="IC285" s="41" t="e">
        <f t="shared" si="233"/>
        <v>#DIV/0!</v>
      </c>
      <c r="ID285" s="41" t="e">
        <f t="shared" si="233"/>
        <v>#DIV/0!</v>
      </c>
      <c r="IE285" s="41" t="e">
        <f t="shared" si="233"/>
        <v>#DIV/0!</v>
      </c>
      <c r="IF285" s="41" t="e">
        <f t="shared" si="233"/>
        <v>#DIV/0!</v>
      </c>
      <c r="IG285" s="41" t="e">
        <f t="shared" si="233"/>
        <v>#DIV/0!</v>
      </c>
      <c r="IH285" s="41" t="e">
        <f t="shared" si="233"/>
        <v>#DIV/0!</v>
      </c>
      <c r="II285" s="41" t="e">
        <f t="shared" si="233"/>
        <v>#DIV/0!</v>
      </c>
      <c r="IJ285" s="41" t="e">
        <f t="shared" si="233"/>
        <v>#DIV/0!</v>
      </c>
      <c r="IK285" s="41" t="e">
        <f t="shared" si="233"/>
        <v>#DIV/0!</v>
      </c>
      <c r="IL285" s="41" t="e">
        <f t="shared" si="233"/>
        <v>#DIV/0!</v>
      </c>
      <c r="IM285" s="41" t="e">
        <f t="shared" si="233"/>
        <v>#DIV/0!</v>
      </c>
      <c r="IN285" s="41" t="e">
        <f t="shared" si="233"/>
        <v>#DIV/0!</v>
      </c>
      <c r="IO285" s="41" t="e">
        <f t="shared" si="233"/>
        <v>#DIV/0!</v>
      </c>
      <c r="IP285" s="41" t="e">
        <f t="shared" si="233"/>
        <v>#DIV/0!</v>
      </c>
      <c r="IQ285" s="41" t="e">
        <f t="shared" si="233"/>
        <v>#DIV/0!</v>
      </c>
      <c r="IR285" s="41" t="e">
        <f t="shared" si="233"/>
        <v>#DIV/0!</v>
      </c>
      <c r="IS285" s="41" t="e">
        <f t="shared" si="233"/>
        <v>#DIV/0!</v>
      </c>
      <c r="IT285" s="41" t="e">
        <f t="shared" si="233"/>
        <v>#DIV/0!</v>
      </c>
      <c r="IU285" s="41" t="e">
        <f t="shared" si="233"/>
        <v>#DIV/0!</v>
      </c>
      <c r="IV285" s="41" t="e">
        <f t="shared" si="233"/>
        <v>#DIV/0!</v>
      </c>
    </row>
    <row r="286" spans="9:27" ht="13.5" customHeight="1"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112"/>
    </row>
    <row r="287" spans="1:27" ht="13.5" customHeight="1">
      <c r="A287" s="140" t="s">
        <v>234</v>
      </c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112"/>
    </row>
    <row r="288" spans="1:27" ht="13.5" customHeight="1">
      <c r="A288" s="140" t="s">
        <v>235</v>
      </c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112"/>
    </row>
    <row r="289" spans="1:182" ht="13.5" customHeight="1">
      <c r="A289" t="s">
        <v>255</v>
      </c>
      <c r="B289" s="41">
        <f aca="true" t="shared" si="234" ref="B289:Z289">B264+B130</f>
        <v>-83.86850168486787</v>
      </c>
      <c r="C289" s="41">
        <f t="shared" si="234"/>
        <v>-75.75835290654673</v>
      </c>
      <c r="D289" s="41">
        <f t="shared" si="234"/>
        <v>-61.99988603556842</v>
      </c>
      <c r="E289" s="41">
        <f t="shared" si="234"/>
        <v>-48.97065662500334</v>
      </c>
      <c r="F289" s="41">
        <f t="shared" si="234"/>
        <v>-36.408614746904775</v>
      </c>
      <c r="G289" s="41">
        <f t="shared" si="234"/>
        <v>-23.388368633284465</v>
      </c>
      <c r="H289" s="41">
        <f t="shared" si="234"/>
        <v>-8.662379700616501</v>
      </c>
      <c r="I289" s="41">
        <f t="shared" si="234"/>
        <v>10.319093390155201</v>
      </c>
      <c r="J289" s="41">
        <f t="shared" si="234"/>
        <v>58.070177305170056</v>
      </c>
      <c r="K289" s="41">
        <f t="shared" si="234"/>
        <v>-16.488261502277282</v>
      </c>
      <c r="L289" s="41">
        <f t="shared" si="234"/>
        <v>18.20321311297817</v>
      </c>
      <c r="M289" s="41">
        <f t="shared" si="234"/>
        <v>32.54004611758107</v>
      </c>
      <c r="N289" s="41">
        <f t="shared" si="234"/>
        <v>41.35091005259573</v>
      </c>
      <c r="O289" s="41">
        <f t="shared" si="234"/>
        <v>47.26640183530975</v>
      </c>
      <c r="P289" s="41">
        <f t="shared" si="234"/>
        <v>54.6909024108088</v>
      </c>
      <c r="Q289" s="41">
        <f t="shared" si="234"/>
        <v>66.34512587349187</v>
      </c>
      <c r="R289" s="41">
        <f t="shared" si="234"/>
        <v>77.13690638319804</v>
      </c>
      <c r="S289" s="41">
        <f t="shared" si="234"/>
        <v>66.58982506449719</v>
      </c>
      <c r="T289" s="41">
        <f t="shared" si="234"/>
        <v>4.8765382511949715</v>
      </c>
      <c r="U289" s="41">
        <f t="shared" si="234"/>
        <v>-144.36657566513225</v>
      </c>
      <c r="V289" s="41">
        <f t="shared" si="234"/>
        <v>150.17126491463185</v>
      </c>
      <c r="W289" s="41">
        <f t="shared" si="234"/>
        <v>-109.87465599467463</v>
      </c>
      <c r="X289" s="41">
        <f t="shared" si="234"/>
        <v>-180.52090100906688</v>
      </c>
      <c r="Y289" s="41">
        <f t="shared" si="234"/>
        <v>-201.98425375936984</v>
      </c>
      <c r="Z289" s="41">
        <f t="shared" si="234"/>
        <v>-250.7800598914083</v>
      </c>
      <c r="AA289" s="41"/>
      <c r="FZ289" s="41"/>
    </row>
    <row r="290" spans="1:182" ht="13.5" customHeight="1">
      <c r="A290" t="s">
        <v>255</v>
      </c>
      <c r="B290" s="41">
        <f aca="true" t="shared" si="235" ref="B290:Z290">B265+B131+$D$6*$F$13</f>
        <v>46.074106297259775</v>
      </c>
      <c r="C290" s="41">
        <f t="shared" si="235"/>
        <v>34.821680215347776</v>
      </c>
      <c r="D290" s="41">
        <f t="shared" si="235"/>
        <v>25.649768801115236</v>
      </c>
      <c r="E290" s="41">
        <f t="shared" si="235"/>
        <v>18.460496457469553</v>
      </c>
      <c r="F290" s="41">
        <f t="shared" si="235"/>
        <v>12.093599190119384</v>
      </c>
      <c r="G290" s="41">
        <f t="shared" si="235"/>
        <v>5.167519967689627</v>
      </c>
      <c r="H290" s="41">
        <f t="shared" si="235"/>
        <v>-3.5337494814582</v>
      </c>
      <c r="I290" s="41">
        <f t="shared" si="235"/>
        <v>-16.609988611195135</v>
      </c>
      <c r="J290" s="41">
        <f t="shared" si="235"/>
        <v>-66.52328682077511</v>
      </c>
      <c r="K290" s="41">
        <f t="shared" si="235"/>
        <v>51.61915844570046</v>
      </c>
      <c r="L290" s="41">
        <f t="shared" si="235"/>
        <v>24.005904091216017</v>
      </c>
      <c r="M290" s="41">
        <f t="shared" si="235"/>
        <v>25.873639432593997</v>
      </c>
      <c r="N290" s="41">
        <f t="shared" si="235"/>
        <v>36.07015924862675</v>
      </c>
      <c r="O290" s="41">
        <f t="shared" si="235"/>
        <v>50.900405225887404</v>
      </c>
      <c r="P290" s="41">
        <f t="shared" si="235"/>
        <v>68.80067131214224</v>
      </c>
      <c r="Q290" s="41">
        <f t="shared" si="235"/>
        <v>88.69694975840231</v>
      </c>
      <c r="R290" s="41">
        <f t="shared" si="235"/>
        <v>110.47139234038926</v>
      </c>
      <c r="S290" s="41">
        <f t="shared" si="235"/>
        <v>148.63564624863363</v>
      </c>
      <c r="T290" s="41">
        <f t="shared" si="235"/>
        <v>240.78148304975375</v>
      </c>
      <c r="U290" s="41">
        <f t="shared" si="235"/>
        <v>471.20203936516674</v>
      </c>
      <c r="V290" s="41">
        <f t="shared" si="235"/>
        <v>-294.67993791438806</v>
      </c>
      <c r="W290" s="41">
        <f t="shared" si="235"/>
        <v>84.91961263611763</v>
      </c>
      <c r="X290" s="41">
        <f t="shared" si="235"/>
        <v>89.81067767937499</v>
      </c>
      <c r="Y290" s="41">
        <f t="shared" si="235"/>
        <v>61.08809682157128</v>
      </c>
      <c r="Z290" s="41">
        <f t="shared" si="235"/>
        <v>62.015571008847935</v>
      </c>
      <c r="AA290" s="41"/>
      <c r="FZ290" s="41"/>
    </row>
    <row r="291" spans="1:182" ht="13.5" customHeight="1">
      <c r="A291" t="s">
        <v>256</v>
      </c>
      <c r="B291" s="41">
        <f aca="true" t="shared" si="236" ref="B291:Z291">B132-B264*B35+B265*B34-B130*B43+(B131+$D$6*$F$13)*B42</f>
        <v>328.9691189624348</v>
      </c>
      <c r="C291" s="41">
        <f t="shared" si="236"/>
        <v>380.16405461913337</v>
      </c>
      <c r="D291" s="41">
        <f t="shared" si="236"/>
        <v>379.96292202133736</v>
      </c>
      <c r="E291" s="41">
        <f t="shared" si="236"/>
        <v>340.47252284001144</v>
      </c>
      <c r="F291" s="41">
        <f t="shared" si="236"/>
        <v>268.3439560609069</v>
      </c>
      <c r="G291" s="41">
        <f t="shared" si="236"/>
        <v>170.90221663208405</v>
      </c>
      <c r="H291" s="41">
        <f t="shared" si="236"/>
        <v>61.90939106240182</v>
      </c>
      <c r="I291" s="41">
        <f t="shared" si="236"/>
        <v>-40.40307156399489</v>
      </c>
      <c r="J291" s="41">
        <f t="shared" si="236"/>
        <v>-121.50424211443602</v>
      </c>
      <c r="K291" s="41">
        <f t="shared" si="236"/>
        <v>-177.27684956912236</v>
      </c>
      <c r="L291" s="41">
        <f t="shared" si="236"/>
        <v>-213.32409148970586</v>
      </c>
      <c r="M291" s="41">
        <f t="shared" si="236"/>
        <v>-238.4659615120957</v>
      </c>
      <c r="N291" s="41">
        <f t="shared" si="236"/>
        <v>-257.420937035195</v>
      </c>
      <c r="O291" s="41">
        <f t="shared" si="236"/>
        <v>-263.56855685301196</v>
      </c>
      <c r="P291" s="41">
        <f t="shared" si="236"/>
        <v>-230.03702055110497</v>
      </c>
      <c r="Q291" s="41">
        <f t="shared" si="236"/>
        <v>-112.69860136008053</v>
      </c>
      <c r="R291" s="41">
        <f t="shared" si="236"/>
        <v>82.74712569475734</v>
      </c>
      <c r="S291" s="41">
        <f t="shared" si="236"/>
        <v>184.7468237806751</v>
      </c>
      <c r="T291" s="41">
        <f t="shared" si="236"/>
        <v>34.99848311353178</v>
      </c>
      <c r="U291" s="41">
        <f t="shared" si="236"/>
        <v>-124.69818194435666</v>
      </c>
      <c r="V291" s="41">
        <f t="shared" si="236"/>
        <v>-123.23516776593587</v>
      </c>
      <c r="W291" s="41">
        <f t="shared" si="236"/>
        <v>-125.78158593918963</v>
      </c>
      <c r="X291" s="41">
        <f t="shared" si="236"/>
        <v>-88.90235181612505</v>
      </c>
      <c r="Y291" s="41">
        <f t="shared" si="236"/>
        <v>48.27647882551074</v>
      </c>
      <c r="Z291" s="41">
        <f t="shared" si="236"/>
        <v>443.0311770031738</v>
      </c>
      <c r="AA291" s="41"/>
      <c r="FZ291" s="41"/>
    </row>
    <row r="292" spans="1:182" ht="13.5" customHeight="1">
      <c r="A292" t="s">
        <v>236</v>
      </c>
      <c r="B292" s="41">
        <f aca="true" t="shared" si="237" ref="B292:Z292">B291*B29</f>
        <v>328.9691189624348</v>
      </c>
      <c r="C292" s="41">
        <f t="shared" si="237"/>
        <v>380.16405461913337</v>
      </c>
      <c r="D292" s="41">
        <f t="shared" si="237"/>
        <v>380.957662625053</v>
      </c>
      <c r="E292" s="41">
        <f t="shared" si="237"/>
        <v>343.14658778126983</v>
      </c>
      <c r="F292" s="41">
        <f t="shared" si="237"/>
        <v>272.55358987177925</v>
      </c>
      <c r="G292" s="41">
        <f t="shared" si="237"/>
        <v>175.3589747330759</v>
      </c>
      <c r="H292" s="41">
        <f t="shared" si="237"/>
        <v>64.32172872897961</v>
      </c>
      <c r="I292" s="41">
        <f t="shared" si="237"/>
        <v>-42.59592250591712</v>
      </c>
      <c r="J292" s="41">
        <f t="shared" si="237"/>
        <v>-130.24197889679945</v>
      </c>
      <c r="K292" s="41">
        <f t="shared" si="237"/>
        <v>-193.54710048320558</v>
      </c>
      <c r="L292" s="41">
        <f t="shared" si="237"/>
        <v>-237.59183547290914</v>
      </c>
      <c r="M292" s="41">
        <f t="shared" si="237"/>
        <v>-271.31205774521965</v>
      </c>
      <c r="N292" s="41">
        <f t="shared" si="237"/>
        <v>-299.53387922383024</v>
      </c>
      <c r="O292" s="41">
        <f t="shared" si="237"/>
        <v>-313.96503382034757</v>
      </c>
      <c r="P292" s="41">
        <f t="shared" si="237"/>
        <v>-280.75032719046783</v>
      </c>
      <c r="Q292" s="41">
        <f t="shared" si="237"/>
        <v>-141.01140226371683</v>
      </c>
      <c r="R292" s="41">
        <f t="shared" si="237"/>
        <v>106.19784591588628</v>
      </c>
      <c r="S292" s="41">
        <f t="shared" si="237"/>
        <v>243.289346397899</v>
      </c>
      <c r="T292" s="41">
        <f t="shared" si="237"/>
        <v>47.30247219533288</v>
      </c>
      <c r="U292" s="41">
        <f t="shared" si="237"/>
        <v>-172.99906093821772</v>
      </c>
      <c r="V292" s="41">
        <f t="shared" si="237"/>
        <v>-175.50482921249707</v>
      </c>
      <c r="W292" s="41">
        <f t="shared" si="237"/>
        <v>-183.87843986970032</v>
      </c>
      <c r="X292" s="41">
        <f t="shared" si="237"/>
        <v>-133.3971703025646</v>
      </c>
      <c r="Y292" s="41">
        <f t="shared" si="237"/>
        <v>74.34042893541657</v>
      </c>
      <c r="Z292" s="41">
        <f t="shared" si="237"/>
        <v>699.9975229122928</v>
      </c>
      <c r="AA292" s="41"/>
      <c r="FZ292" s="41"/>
    </row>
    <row r="293" spans="1:182" ht="13.5" customHeight="1">
      <c r="A293" t="s">
        <v>237</v>
      </c>
      <c r="B293" s="41">
        <f aca="true" t="shared" si="238" ref="B293:Z293">B208+B151+B171+B143+B135</f>
        <v>328.96911896243466</v>
      </c>
      <c r="C293" s="41">
        <f t="shared" si="238"/>
        <v>380.16405461913325</v>
      </c>
      <c r="D293" s="41">
        <f t="shared" si="238"/>
        <v>380.95766262505293</v>
      </c>
      <c r="E293" s="41">
        <f t="shared" si="238"/>
        <v>343.1465877812699</v>
      </c>
      <c r="F293" s="41">
        <f t="shared" si="238"/>
        <v>272.55358987177925</v>
      </c>
      <c r="G293" s="41">
        <f t="shared" si="238"/>
        <v>175.3589747330759</v>
      </c>
      <c r="H293" s="41">
        <f t="shared" si="238"/>
        <v>64.32172872897961</v>
      </c>
      <c r="I293" s="41">
        <f t="shared" si="238"/>
        <v>-42.59592250591713</v>
      </c>
      <c r="J293" s="41">
        <f t="shared" si="238"/>
        <v>-130.24197889679954</v>
      </c>
      <c r="K293" s="41">
        <f t="shared" si="238"/>
        <v>-193.54710048320553</v>
      </c>
      <c r="L293" s="41">
        <f t="shared" si="238"/>
        <v>-237.59183547290905</v>
      </c>
      <c r="M293" s="41">
        <f t="shared" si="238"/>
        <v>-271.31205774521965</v>
      </c>
      <c r="N293" s="41">
        <f t="shared" si="238"/>
        <v>-299.53387922383024</v>
      </c>
      <c r="O293" s="41">
        <f t="shared" si="238"/>
        <v>-313.9650338203475</v>
      </c>
      <c r="P293" s="41">
        <f t="shared" si="238"/>
        <v>-280.7503271904678</v>
      </c>
      <c r="Q293" s="41">
        <f t="shared" si="238"/>
        <v>-141.01140226371672</v>
      </c>
      <c r="R293" s="41">
        <f t="shared" si="238"/>
        <v>106.19784591588623</v>
      </c>
      <c r="S293" s="41">
        <f t="shared" si="238"/>
        <v>243.28934639789904</v>
      </c>
      <c r="T293" s="41">
        <f t="shared" si="238"/>
        <v>47.302472195333095</v>
      </c>
      <c r="U293" s="41">
        <f t="shared" si="238"/>
        <v>-172.99906093821807</v>
      </c>
      <c r="V293" s="41">
        <f t="shared" si="238"/>
        <v>-175.50482921249727</v>
      </c>
      <c r="W293" s="41">
        <f t="shared" si="238"/>
        <v>-183.8784398697003</v>
      </c>
      <c r="X293" s="41">
        <f t="shared" si="238"/>
        <v>-133.39717030256506</v>
      </c>
      <c r="Y293" s="41">
        <f t="shared" si="238"/>
        <v>74.34042893541644</v>
      </c>
      <c r="Z293" s="41">
        <f t="shared" si="238"/>
        <v>620.9120620766223</v>
      </c>
      <c r="AA293" s="41"/>
      <c r="FZ293" s="41"/>
    </row>
    <row r="294" spans="1:182" ht="13.5" customHeight="1">
      <c r="A294" t="s">
        <v>238</v>
      </c>
      <c r="B294" s="41">
        <f aca="true" t="shared" si="239" ref="B294:Z294">B292-B293</f>
        <v>0</v>
      </c>
      <c r="C294" s="41">
        <f t="shared" si="239"/>
        <v>0</v>
      </c>
      <c r="D294" s="41">
        <f t="shared" si="239"/>
        <v>0</v>
      </c>
      <c r="E294" s="41">
        <f t="shared" si="239"/>
        <v>0</v>
      </c>
      <c r="F294" s="41">
        <f t="shared" si="239"/>
        <v>0</v>
      </c>
      <c r="G294" s="41">
        <f t="shared" si="239"/>
        <v>0</v>
      </c>
      <c r="H294" s="41">
        <f t="shared" si="239"/>
        <v>0</v>
      </c>
      <c r="I294" s="41">
        <f t="shared" si="239"/>
        <v>0</v>
      </c>
      <c r="J294" s="41">
        <f t="shared" si="239"/>
        <v>0</v>
      </c>
      <c r="K294" s="41">
        <f t="shared" si="239"/>
        <v>0</v>
      </c>
      <c r="L294" s="41">
        <f t="shared" si="239"/>
        <v>0</v>
      </c>
      <c r="M294" s="41">
        <f t="shared" si="239"/>
        <v>0</v>
      </c>
      <c r="N294" s="41">
        <f t="shared" si="239"/>
        <v>0</v>
      </c>
      <c r="O294" s="41">
        <f t="shared" si="239"/>
        <v>0</v>
      </c>
      <c r="P294" s="41">
        <f t="shared" si="239"/>
        <v>0</v>
      </c>
      <c r="Q294" s="41">
        <f t="shared" si="239"/>
        <v>0</v>
      </c>
      <c r="R294" s="41">
        <f t="shared" si="239"/>
        <v>0</v>
      </c>
      <c r="S294" s="41">
        <f t="shared" si="239"/>
        <v>0</v>
      </c>
      <c r="T294" s="41">
        <f t="shared" si="239"/>
        <v>-2.1316282072803006E-13</v>
      </c>
      <c r="U294" s="41">
        <f t="shared" si="239"/>
        <v>3.410605131648481E-13</v>
      </c>
      <c r="V294" s="41">
        <f t="shared" si="239"/>
        <v>0</v>
      </c>
      <c r="W294" s="41">
        <f t="shared" si="239"/>
        <v>0</v>
      </c>
      <c r="X294" s="41">
        <f t="shared" si="239"/>
        <v>4.547473508864641E-13</v>
      </c>
      <c r="Y294" s="41">
        <f t="shared" si="239"/>
        <v>1.2789769243681803E-13</v>
      </c>
      <c r="Z294" s="41">
        <f t="shared" si="239"/>
        <v>79.08546083567046</v>
      </c>
      <c r="AA294" s="41"/>
      <c r="FZ294" s="41"/>
    </row>
    <row r="295" spans="9:27" ht="13.5" customHeight="1"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112"/>
    </row>
    <row r="296" spans="1:27" ht="13.5" customHeight="1">
      <c r="A296" s="140" t="s">
        <v>239</v>
      </c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112"/>
    </row>
    <row r="297" spans="1:182" ht="13.5" customHeight="1">
      <c r="A297" t="s">
        <v>257</v>
      </c>
      <c r="B297" s="41">
        <f aca="true" t="shared" si="240" ref="B297:Z297">B278+B130</f>
        <v>-1427.3857103747855</v>
      </c>
      <c r="C297" s="41">
        <f t="shared" si="240"/>
        <v>-355.00692185753627</v>
      </c>
      <c r="D297" s="41">
        <f t="shared" si="240"/>
        <v>-164.6660002104284</v>
      </c>
      <c r="E297" s="41">
        <f t="shared" si="240"/>
        <v>-89.85632279375973</v>
      </c>
      <c r="F297" s="41">
        <f t="shared" si="240"/>
        <v>-51.827447329691275</v>
      </c>
      <c r="G297" s="41">
        <f t="shared" si="240"/>
        <v>-27.49321796168757</v>
      </c>
      <c r="H297" s="41">
        <f t="shared" si="240"/>
        <v>-8.662379700616501</v>
      </c>
      <c r="I297" s="41">
        <f t="shared" si="240"/>
        <v>7.0012503153001795</v>
      </c>
      <c r="J297" s="41">
        <f t="shared" si="240"/>
        <v>19.45604766596504</v>
      </c>
      <c r="K297" s="41">
        <f t="shared" si="240"/>
        <v>28.210683105298784</v>
      </c>
      <c r="L297" s="41">
        <f t="shared" si="240"/>
        <v>33.41576500374581</v>
      </c>
      <c r="M297" s="41">
        <f t="shared" si="240"/>
        <v>36.33722413460184</v>
      </c>
      <c r="N297" s="41">
        <f t="shared" si="240"/>
        <v>40.225266006904945</v>
      </c>
      <c r="O297" s="41">
        <f t="shared" si="240"/>
        <v>32.24937488053733</v>
      </c>
      <c r="P297" s="41">
        <f t="shared" si="240"/>
        <v>51.84338249997039</v>
      </c>
      <c r="Q297" s="41">
        <f t="shared" si="240"/>
        <v>71.45545012730908</v>
      </c>
      <c r="R297" s="41">
        <f t="shared" si="240"/>
        <v>84.69621135187627</v>
      </c>
      <c r="S297" s="41">
        <f t="shared" si="240"/>
        <v>64.24591837475852</v>
      </c>
      <c r="T297" s="41">
        <f t="shared" si="240"/>
        <v>4.876538251194957</v>
      </c>
      <c r="U297" s="41">
        <f t="shared" si="240"/>
        <v>-49.292091212158766</v>
      </c>
      <c r="V297" s="41">
        <f t="shared" si="240"/>
        <v>-58.20355845704992</v>
      </c>
      <c r="W297" s="41">
        <f t="shared" si="240"/>
        <v>20.51570074433826</v>
      </c>
      <c r="X297" s="41">
        <f t="shared" si="240"/>
        <v>314.3547107497731</v>
      </c>
      <c r="Y297" s="41">
        <f t="shared" si="240"/>
        <v>1477.5844396392445</v>
      </c>
      <c r="Z297" s="41">
        <f t="shared" si="240"/>
        <v>-2727.0212657512343</v>
      </c>
      <c r="AA297" s="41"/>
      <c r="FZ297" s="41"/>
    </row>
    <row r="298" spans="1:182" ht="13.5" customHeight="1">
      <c r="A298" t="s">
        <v>257</v>
      </c>
      <c r="B298" s="41">
        <f aca="true" t="shared" si="241" ref="B298:Z298">B279+B131+$D$6*$F$13</f>
        <v>46.074106297259775</v>
      </c>
      <c r="C298" s="41">
        <f t="shared" si="241"/>
        <v>-40.00274832261653</v>
      </c>
      <c r="D298" s="41">
        <f t="shared" si="241"/>
        <v>-33.624539854393</v>
      </c>
      <c r="E298" s="41">
        <f t="shared" si="241"/>
        <v>-22.425169711286827</v>
      </c>
      <c r="F298" s="41">
        <f t="shared" si="241"/>
        <v>-14.612602236665284</v>
      </c>
      <c r="G298" s="41">
        <f t="shared" si="241"/>
        <v>-10.151986283325757</v>
      </c>
      <c r="H298" s="41">
        <f t="shared" si="241"/>
        <v>-7.3007770621125925</v>
      </c>
      <c r="I298" s="41">
        <f t="shared" si="241"/>
        <v>-4.2276296842956445</v>
      </c>
      <c r="J298" s="41">
        <f t="shared" si="241"/>
        <v>0.35834760437925617</v>
      </c>
      <c r="K298" s="41">
        <f t="shared" si="241"/>
        <v>6.920213838124475</v>
      </c>
      <c r="L298" s="41">
        <f t="shared" si="241"/>
        <v>15.222933162020176</v>
      </c>
      <c r="M298" s="41">
        <f t="shared" si="241"/>
        <v>24.856188649416076</v>
      </c>
      <c r="N298" s="41">
        <f t="shared" si="241"/>
        <v>36.07015924862675</v>
      </c>
      <c r="O298" s="41">
        <f t="shared" si="241"/>
        <v>46.876604980639726</v>
      </c>
      <c r="P298" s="41">
        <f t="shared" si="241"/>
        <v>67.15665492509686</v>
      </c>
      <c r="Q298" s="41">
        <f t="shared" si="241"/>
        <v>93.80727401221952</v>
      </c>
      <c r="R298" s="41">
        <f t="shared" si="241"/>
        <v>123.5644926160478</v>
      </c>
      <c r="S298" s="41">
        <f t="shared" si="241"/>
        <v>139.8880673943283</v>
      </c>
      <c r="T298" s="41">
        <f t="shared" si="241"/>
        <v>134.30327407923428</v>
      </c>
      <c r="U298" s="41">
        <f t="shared" si="241"/>
        <v>116.37923288325175</v>
      </c>
      <c r="V298" s="41">
        <f t="shared" si="241"/>
        <v>66.23584318355552</v>
      </c>
      <c r="W298" s="41">
        <f t="shared" si="241"/>
        <v>-45.470744102895296</v>
      </c>
      <c r="X298" s="41">
        <f t="shared" si="241"/>
        <v>-195.90588998497236</v>
      </c>
      <c r="Y298" s="41">
        <f t="shared" si="241"/>
        <v>-388.95097820718314</v>
      </c>
      <c r="Z298" s="41">
        <f t="shared" si="241"/>
        <v>62.01557100884856</v>
      </c>
      <c r="AA298" s="41"/>
      <c r="FZ298" s="41"/>
    </row>
    <row r="299" spans="1:182" ht="13.5" customHeight="1">
      <c r="A299" t="s">
        <v>258</v>
      </c>
      <c r="B299" s="41">
        <f aca="true" t="shared" si="242" ref="B299:Z299">B132-B278*B35+B279*B34-B130*B43+(B131+$D$6*$F$13)*B42</f>
        <v>328.9691189624348</v>
      </c>
      <c r="C299" s="41">
        <f t="shared" si="242"/>
        <v>380.16405461913337</v>
      </c>
      <c r="D299" s="41">
        <f t="shared" si="242"/>
        <v>379.9629220213373</v>
      </c>
      <c r="E299" s="41">
        <f t="shared" si="242"/>
        <v>340.47252284001144</v>
      </c>
      <c r="F299" s="41">
        <f t="shared" si="242"/>
        <v>268.343956060907</v>
      </c>
      <c r="G299" s="41">
        <f t="shared" si="242"/>
        <v>170.90221663208405</v>
      </c>
      <c r="H299" s="41">
        <f t="shared" si="242"/>
        <v>61.909391062401816</v>
      </c>
      <c r="I299" s="41">
        <f t="shared" si="242"/>
        <v>-40.4030715639949</v>
      </c>
      <c r="J299" s="41">
        <f t="shared" si="242"/>
        <v>-121.50424211443591</v>
      </c>
      <c r="K299" s="41">
        <f t="shared" si="242"/>
        <v>-177.27684956912282</v>
      </c>
      <c r="L299" s="41">
        <f t="shared" si="242"/>
        <v>-213.32409148970592</v>
      </c>
      <c r="M299" s="41">
        <f t="shared" si="242"/>
        <v>-238.4659615120957</v>
      </c>
      <c r="N299" s="41">
        <f t="shared" si="242"/>
        <v>-257.420937035195</v>
      </c>
      <c r="O299" s="41">
        <f t="shared" si="242"/>
        <v>-263.56855685301184</v>
      </c>
      <c r="P299" s="41">
        <f t="shared" si="242"/>
        <v>-230.03702055110492</v>
      </c>
      <c r="Q299" s="41">
        <f t="shared" si="242"/>
        <v>-112.69860136008059</v>
      </c>
      <c r="R299" s="41">
        <f t="shared" si="242"/>
        <v>82.74712569475734</v>
      </c>
      <c r="S299" s="41">
        <f t="shared" si="242"/>
        <v>184.7468237806751</v>
      </c>
      <c r="T299" s="41">
        <f t="shared" si="242"/>
        <v>34.99848311353182</v>
      </c>
      <c r="U299" s="41">
        <f t="shared" si="242"/>
        <v>-124.69818194435666</v>
      </c>
      <c r="V299" s="41">
        <f t="shared" si="242"/>
        <v>-123.2351677659357</v>
      </c>
      <c r="W299" s="41">
        <f t="shared" si="242"/>
        <v>-125.78158593918948</v>
      </c>
      <c r="X299" s="41">
        <f t="shared" si="242"/>
        <v>-88.9023518161251</v>
      </c>
      <c r="Y299" s="41">
        <f t="shared" si="242"/>
        <v>48.27647882551097</v>
      </c>
      <c r="Z299" s="41">
        <f t="shared" si="242"/>
        <v>443.03117700317387</v>
      </c>
      <c r="AA299" s="41"/>
      <c r="FZ299" s="41"/>
    </row>
    <row r="300" spans="1:182" ht="13.5" customHeight="1">
      <c r="A300" t="s">
        <v>236</v>
      </c>
      <c r="B300" s="41">
        <f aca="true" t="shared" si="243" ref="B300:Z300">B299*B29</f>
        <v>328.9691189624348</v>
      </c>
      <c r="C300" s="41">
        <f t="shared" si="243"/>
        <v>380.16405461913337</v>
      </c>
      <c r="D300" s="41">
        <f t="shared" si="243"/>
        <v>380.95766262505293</v>
      </c>
      <c r="E300" s="41">
        <f t="shared" si="243"/>
        <v>343.14658778126983</v>
      </c>
      <c r="F300" s="41">
        <f t="shared" si="243"/>
        <v>272.5535898717793</v>
      </c>
      <c r="G300" s="41">
        <f t="shared" si="243"/>
        <v>175.3589747330759</v>
      </c>
      <c r="H300" s="41">
        <f t="shared" si="243"/>
        <v>64.3217287289796</v>
      </c>
      <c r="I300" s="41">
        <f t="shared" si="243"/>
        <v>-42.59592250591713</v>
      </c>
      <c r="J300" s="41">
        <f t="shared" si="243"/>
        <v>-130.2419788967993</v>
      </c>
      <c r="K300" s="41">
        <f t="shared" si="243"/>
        <v>-193.5471004832061</v>
      </c>
      <c r="L300" s="41">
        <f t="shared" si="243"/>
        <v>-237.5918354729092</v>
      </c>
      <c r="M300" s="41">
        <f t="shared" si="243"/>
        <v>-271.31205774521965</v>
      </c>
      <c r="N300" s="41">
        <f t="shared" si="243"/>
        <v>-299.53387922383024</v>
      </c>
      <c r="O300" s="41">
        <f t="shared" si="243"/>
        <v>-313.9650338203474</v>
      </c>
      <c r="P300" s="41">
        <f t="shared" si="243"/>
        <v>-280.7503271904678</v>
      </c>
      <c r="Q300" s="41">
        <f t="shared" si="243"/>
        <v>-141.01140226371692</v>
      </c>
      <c r="R300" s="41">
        <f t="shared" si="243"/>
        <v>106.19784591588628</v>
      </c>
      <c r="S300" s="41">
        <f t="shared" si="243"/>
        <v>243.289346397899</v>
      </c>
      <c r="T300" s="41">
        <f t="shared" si="243"/>
        <v>47.302472195332925</v>
      </c>
      <c r="U300" s="41">
        <f t="shared" si="243"/>
        <v>-172.99906093821772</v>
      </c>
      <c r="V300" s="41">
        <f t="shared" si="243"/>
        <v>-175.50482921249684</v>
      </c>
      <c r="W300" s="41">
        <f t="shared" si="243"/>
        <v>-183.87843986970012</v>
      </c>
      <c r="X300" s="41">
        <f t="shared" si="243"/>
        <v>-133.3971703025647</v>
      </c>
      <c r="Y300" s="41">
        <f t="shared" si="243"/>
        <v>74.34042893541691</v>
      </c>
      <c r="Z300" s="41">
        <f t="shared" si="243"/>
        <v>699.9975229122929</v>
      </c>
      <c r="AA300" s="41"/>
      <c r="FZ300" s="41"/>
    </row>
    <row r="301" spans="1:182" ht="13.5" customHeight="1">
      <c r="A301" t="s">
        <v>237</v>
      </c>
      <c r="B301" s="41">
        <f aca="true" t="shared" si="244" ref="B301:Z301">B293</f>
        <v>328.96911896243466</v>
      </c>
      <c r="C301" s="41">
        <f t="shared" si="244"/>
        <v>380.16405461913325</v>
      </c>
      <c r="D301" s="41">
        <f t="shared" si="244"/>
        <v>380.95766262505293</v>
      </c>
      <c r="E301" s="41">
        <f t="shared" si="244"/>
        <v>343.1465877812699</v>
      </c>
      <c r="F301" s="41">
        <f t="shared" si="244"/>
        <v>272.55358987177925</v>
      </c>
      <c r="G301" s="41">
        <f t="shared" si="244"/>
        <v>175.3589747330759</v>
      </c>
      <c r="H301" s="41">
        <f t="shared" si="244"/>
        <v>64.32172872897961</v>
      </c>
      <c r="I301" s="41">
        <f t="shared" si="244"/>
        <v>-42.59592250591713</v>
      </c>
      <c r="J301" s="41">
        <f t="shared" si="244"/>
        <v>-130.24197889679954</v>
      </c>
      <c r="K301" s="41">
        <f t="shared" si="244"/>
        <v>-193.54710048320553</v>
      </c>
      <c r="L301" s="41">
        <f t="shared" si="244"/>
        <v>-237.59183547290905</v>
      </c>
      <c r="M301" s="41">
        <f t="shared" si="244"/>
        <v>-271.31205774521965</v>
      </c>
      <c r="N301" s="41">
        <f t="shared" si="244"/>
        <v>-299.53387922383024</v>
      </c>
      <c r="O301" s="41">
        <f t="shared" si="244"/>
        <v>-313.9650338203475</v>
      </c>
      <c r="P301" s="41">
        <f t="shared" si="244"/>
        <v>-280.7503271904678</v>
      </c>
      <c r="Q301" s="41">
        <f t="shared" si="244"/>
        <v>-141.01140226371672</v>
      </c>
      <c r="R301" s="41">
        <f t="shared" si="244"/>
        <v>106.19784591588623</v>
      </c>
      <c r="S301" s="41">
        <f t="shared" si="244"/>
        <v>243.28934639789904</v>
      </c>
      <c r="T301" s="41">
        <f t="shared" si="244"/>
        <v>47.302472195333095</v>
      </c>
      <c r="U301" s="41">
        <f t="shared" si="244"/>
        <v>-172.99906093821807</v>
      </c>
      <c r="V301" s="41">
        <f t="shared" si="244"/>
        <v>-175.50482921249727</v>
      </c>
      <c r="W301" s="41">
        <f t="shared" si="244"/>
        <v>-183.8784398697003</v>
      </c>
      <c r="X301" s="41">
        <f t="shared" si="244"/>
        <v>-133.39717030256506</v>
      </c>
      <c r="Y301" s="41">
        <f t="shared" si="244"/>
        <v>74.34042893541644</v>
      </c>
      <c r="Z301" s="41">
        <f t="shared" si="244"/>
        <v>620.9120620766223</v>
      </c>
      <c r="AA301" s="41"/>
      <c r="FZ301" s="41"/>
    </row>
    <row r="302" spans="1:182" ht="13.5" customHeight="1">
      <c r="A302" t="s">
        <v>238</v>
      </c>
      <c r="B302" s="41">
        <f aca="true" t="shared" si="245" ref="B302:Z302">B300-B301</f>
        <v>0</v>
      </c>
      <c r="C302" s="41">
        <f t="shared" si="245"/>
        <v>0</v>
      </c>
      <c r="D302" s="41">
        <f t="shared" si="245"/>
        <v>0</v>
      </c>
      <c r="E302" s="41">
        <f t="shared" si="245"/>
        <v>0</v>
      </c>
      <c r="F302" s="41">
        <f t="shared" si="245"/>
        <v>0</v>
      </c>
      <c r="G302" s="41">
        <f t="shared" si="245"/>
        <v>0</v>
      </c>
      <c r="H302" s="41">
        <f t="shared" si="245"/>
        <v>0</v>
      </c>
      <c r="I302" s="41">
        <f t="shared" si="245"/>
        <v>0</v>
      </c>
      <c r="J302" s="41">
        <f t="shared" si="245"/>
        <v>2.2737367544323206E-13</v>
      </c>
      <c r="K302" s="41">
        <f t="shared" si="245"/>
        <v>-5.684341886080801E-13</v>
      </c>
      <c r="L302" s="41">
        <f t="shared" si="245"/>
        <v>0</v>
      </c>
      <c r="M302" s="41">
        <f t="shared" si="245"/>
        <v>0</v>
      </c>
      <c r="N302" s="41">
        <f t="shared" si="245"/>
        <v>0</v>
      </c>
      <c r="O302" s="41">
        <f t="shared" si="245"/>
        <v>0</v>
      </c>
      <c r="P302" s="41">
        <f t="shared" si="245"/>
        <v>0</v>
      </c>
      <c r="Q302" s="41">
        <f t="shared" si="245"/>
        <v>0</v>
      </c>
      <c r="R302" s="41">
        <f t="shared" si="245"/>
        <v>0</v>
      </c>
      <c r="S302" s="41">
        <f t="shared" si="245"/>
        <v>0</v>
      </c>
      <c r="T302" s="41">
        <f t="shared" si="245"/>
        <v>-1.7053025658242404E-13</v>
      </c>
      <c r="U302" s="41">
        <f t="shared" si="245"/>
        <v>3.410605131648481E-13</v>
      </c>
      <c r="V302" s="41">
        <f t="shared" si="245"/>
        <v>4.263256414560601E-13</v>
      </c>
      <c r="W302" s="41">
        <f t="shared" si="245"/>
        <v>0</v>
      </c>
      <c r="X302" s="41">
        <f t="shared" si="245"/>
        <v>3.694822225952521E-13</v>
      </c>
      <c r="Y302" s="41">
        <f t="shared" si="245"/>
        <v>4.689582056016661E-13</v>
      </c>
      <c r="Z302" s="41">
        <f t="shared" si="245"/>
        <v>79.08546083567057</v>
      </c>
      <c r="AA302" s="41"/>
      <c r="FZ302" s="41"/>
    </row>
    <row r="303" spans="9:27" ht="13.5" customHeight="1" thickBot="1"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112"/>
    </row>
    <row r="304" spans="1:27" ht="13.5" customHeight="1" thickBot="1">
      <c r="A304" s="102" t="s">
        <v>273</v>
      </c>
      <c r="B304" s="41">
        <f>B135</f>
        <v>70.0434</v>
      </c>
      <c r="C304" s="41">
        <f aca="true" t="shared" si="246" ref="C304:Z304">C135</f>
        <v>68.17652502109573</v>
      </c>
      <c r="D304" s="41">
        <f t="shared" si="246"/>
        <v>61.86048325591256</v>
      </c>
      <c r="E304" s="41">
        <f t="shared" si="246"/>
        <v>51.48879180556233</v>
      </c>
      <c r="F304" s="41">
        <f t="shared" si="246"/>
        <v>37.68290245866879</v>
      </c>
      <c r="G304" s="41">
        <f t="shared" si="246"/>
        <v>21.26807521892129</v>
      </c>
      <c r="H304" s="41">
        <f t="shared" si="246"/>
        <v>3.240301033428865</v>
      </c>
      <c r="I304" s="41">
        <f t="shared" si="246"/>
        <v>-15.276429081809969</v>
      </c>
      <c r="J304" s="41">
        <f t="shared" si="246"/>
        <v>-33.08280735781264</v>
      </c>
      <c r="K304" s="41">
        <f t="shared" si="246"/>
        <v>-48.96627679777806</v>
      </c>
      <c r="L304" s="41">
        <f t="shared" si="246"/>
        <v>-61.77069184726783</v>
      </c>
      <c r="M304" s="41">
        <f t="shared" si="246"/>
        <v>-70.47039383910872</v>
      </c>
      <c r="N304" s="41">
        <f t="shared" si="246"/>
        <v>-74.24420635215482</v>
      </c>
      <c r="O304" s="41">
        <f t="shared" si="246"/>
        <v>-72.54384381134518</v>
      </c>
      <c r="P304" s="41">
        <f t="shared" si="246"/>
        <v>-65.15071195912702</v>
      </c>
      <c r="Q304" s="41">
        <f t="shared" si="246"/>
        <v>-52.2151847400267</v>
      </c>
      <c r="R304" s="41">
        <f t="shared" si="246"/>
        <v>-34.273210437821604</v>
      </c>
      <c r="S304" s="41">
        <f t="shared" si="246"/>
        <v>-12.236491046960055</v>
      </c>
      <c r="T304" s="41">
        <f t="shared" si="246"/>
        <v>12.645617915346053</v>
      </c>
      <c r="U304" s="41">
        <f t="shared" si="246"/>
        <v>38.8520905410939</v>
      </c>
      <c r="V304" s="41">
        <f t="shared" si="246"/>
        <v>64.681306366034</v>
      </c>
      <c r="W304" s="41">
        <f t="shared" si="246"/>
        <v>88.36210887932818</v>
      </c>
      <c r="X304" s="41">
        <f t="shared" si="246"/>
        <v>108.17770536129265</v>
      </c>
      <c r="Y304" s="41">
        <f t="shared" si="246"/>
        <v>122.5937169519303</v>
      </c>
      <c r="Z304" s="41">
        <f t="shared" si="246"/>
        <v>130.38077542342876</v>
      </c>
      <c r="AA304" s="112"/>
    </row>
    <row r="305" spans="1:27" ht="13.5" customHeight="1" thickBot="1">
      <c r="A305" s="102" t="s">
        <v>274</v>
      </c>
      <c r="B305" s="41">
        <f>B143</f>
        <v>2.6744151334912942</v>
      </c>
      <c r="C305" s="41">
        <f aca="true" t="shared" si="247" ref="C305:Z305">C143</f>
        <v>68.77845771045676</v>
      </c>
      <c r="D305" s="41">
        <f t="shared" si="247"/>
        <v>111.39057257153613</v>
      </c>
      <c r="E305" s="41">
        <f t="shared" si="247"/>
        <v>129.06912487531633</v>
      </c>
      <c r="F305" s="41">
        <f t="shared" si="247"/>
        <v>126.27983619824931</v>
      </c>
      <c r="G305" s="41">
        <f t="shared" si="247"/>
        <v>107.78120371161636</v>
      </c>
      <c r="H305" s="41">
        <f t="shared" si="247"/>
        <v>77.2418044146751</v>
      </c>
      <c r="I305" s="41">
        <f t="shared" si="247"/>
        <v>37.3483759419966</v>
      </c>
      <c r="J305" s="41">
        <f t="shared" si="247"/>
        <v>-9.671638042142874</v>
      </c>
      <c r="K305" s="41">
        <f t="shared" si="247"/>
        <v>-61.467705592727185</v>
      </c>
      <c r="L305" s="41">
        <f t="shared" si="247"/>
        <v>-115.07683716626741</v>
      </c>
      <c r="M305" s="41">
        <f t="shared" si="247"/>
        <v>-166.55087895360433</v>
      </c>
      <c r="N305" s="41">
        <f t="shared" si="247"/>
        <v>-210.48390180907967</v>
      </c>
      <c r="O305" s="41">
        <f t="shared" si="247"/>
        <v>-238.96024511585006</v>
      </c>
      <c r="P305" s="41">
        <f t="shared" si="247"/>
        <v>-239.34971759001263</v>
      </c>
      <c r="Q305" s="41">
        <f t="shared" si="247"/>
        <v>-190.90074426254125</v>
      </c>
      <c r="R305" s="41">
        <f t="shared" si="247"/>
        <v>-63.14461313656074</v>
      </c>
      <c r="S305" s="41">
        <f t="shared" si="247"/>
        <v>170.4993840176338</v>
      </c>
      <c r="T305" s="41">
        <f t="shared" si="247"/>
        <v>475.0692060929704</v>
      </c>
      <c r="U305" s="41">
        <f t="shared" si="247"/>
        <v>664.8059131346281</v>
      </c>
      <c r="V305" s="41">
        <f t="shared" si="247"/>
        <v>488.00622291156077</v>
      </c>
      <c r="W305" s="41">
        <f t="shared" si="247"/>
        <v>10.668604594204425</v>
      </c>
      <c r="X305" s="41">
        <f t="shared" si="247"/>
        <v>-357.87528619085435</v>
      </c>
      <c r="Y305" s="41">
        <f t="shared" si="247"/>
        <v>-396.34877156570576</v>
      </c>
      <c r="Z305" s="41">
        <f t="shared" si="247"/>
        <v>-210.4890612624284</v>
      </c>
      <c r="AA305" s="112"/>
    </row>
    <row r="306" spans="1:27" ht="13.5" customHeight="1" thickBot="1">
      <c r="A306" s="102" t="s">
        <v>275</v>
      </c>
      <c r="B306" s="41">
        <f>B151</f>
        <v>38.660750694919784</v>
      </c>
      <c r="C306" s="41">
        <f aca="true" t="shared" si="248" ref="C306:Z306">C151</f>
        <v>98.07301688327189</v>
      </c>
      <c r="D306" s="41">
        <f t="shared" si="248"/>
        <v>112.83725821307456</v>
      </c>
      <c r="E306" s="41">
        <f t="shared" si="248"/>
        <v>99.4182873491066</v>
      </c>
      <c r="F306" s="41">
        <f t="shared" si="248"/>
        <v>71.2177219330974</v>
      </c>
      <c r="G306" s="41">
        <f t="shared" si="248"/>
        <v>37.65201718192905</v>
      </c>
      <c r="H306" s="41">
        <f t="shared" si="248"/>
        <v>5.634886488341962</v>
      </c>
      <c r="I306" s="41">
        <f t="shared" si="248"/>
        <v>-19.71478127343078</v>
      </c>
      <c r="J306" s="41">
        <f t="shared" si="248"/>
        <v>-35.39783200966311</v>
      </c>
      <c r="K306" s="41">
        <f t="shared" si="248"/>
        <v>-40.96468692954834</v>
      </c>
      <c r="L306" s="41">
        <f t="shared" si="248"/>
        <v>-38.04051071361775</v>
      </c>
      <c r="M306" s="41">
        <f t="shared" si="248"/>
        <v>-28.864560138076097</v>
      </c>
      <c r="N306" s="41">
        <f t="shared" si="248"/>
        <v>-14.634848779607655</v>
      </c>
      <c r="O306" s="41">
        <f t="shared" si="248"/>
        <v>5.728058547527606</v>
      </c>
      <c r="P306" s="41">
        <f t="shared" si="248"/>
        <v>36.44503774682777</v>
      </c>
      <c r="Q306" s="41">
        <f t="shared" si="248"/>
        <v>85.20243159100347</v>
      </c>
      <c r="R306" s="41">
        <f t="shared" si="248"/>
        <v>160.1604771472965</v>
      </c>
      <c r="S306" s="41">
        <f t="shared" si="248"/>
        <v>254.04149029431616</v>
      </c>
      <c r="T306" s="41">
        <f t="shared" si="248"/>
        <v>302.89614180919335</v>
      </c>
      <c r="U306" s="41">
        <f t="shared" si="248"/>
        <v>162.9560708969352</v>
      </c>
      <c r="V306" s="41">
        <f t="shared" si="248"/>
        <v>-224.6386642388488</v>
      </c>
      <c r="W306" s="41">
        <f t="shared" si="248"/>
        <v>-576.3303310077381</v>
      </c>
      <c r="X306" s="41">
        <f t="shared" si="248"/>
        <v>-551.8228497713478</v>
      </c>
      <c r="Y306" s="41">
        <f t="shared" si="248"/>
        <v>-222.98853556284462</v>
      </c>
      <c r="Z306" s="41">
        <f t="shared" si="248"/>
        <v>128.57127132150217</v>
      </c>
      <c r="AA306" s="112"/>
    </row>
    <row r="307" spans="1:27" ht="13.5" customHeight="1" thickBot="1">
      <c r="A307" s="102" t="s">
        <v>278</v>
      </c>
      <c r="B307" s="41">
        <f>B208</f>
        <v>7.154111206698635</v>
      </c>
      <c r="C307" s="41">
        <f aca="true" t="shared" si="249" ref="C307:Z307">C208</f>
        <v>6.742572300435805</v>
      </c>
      <c r="D307" s="41">
        <f t="shared" si="249"/>
        <v>5.509312327185427</v>
      </c>
      <c r="E307" s="41">
        <f t="shared" si="249"/>
        <v>3.79631294287585</v>
      </c>
      <c r="F307" s="41">
        <f t="shared" si="249"/>
        <v>1.971045401558135</v>
      </c>
      <c r="G307" s="41">
        <f t="shared" si="249"/>
        <v>0.37120663292584677</v>
      </c>
      <c r="H307" s="41">
        <f t="shared" si="249"/>
        <v>-0.7574361865477743</v>
      </c>
      <c r="I307" s="41">
        <f t="shared" si="249"/>
        <v>-1.3100626302953335</v>
      </c>
      <c r="J307" s="41">
        <f t="shared" si="249"/>
        <v>-1.335085150754681</v>
      </c>
      <c r="K307" s="41">
        <f t="shared" si="249"/>
        <v>-0.9996882312430007</v>
      </c>
      <c r="L307" s="41">
        <f t="shared" si="249"/>
        <v>-0.5255751289006827</v>
      </c>
      <c r="M307" s="41">
        <f t="shared" si="249"/>
        <v>-0.1307312007231029</v>
      </c>
      <c r="N307" s="41">
        <f t="shared" si="249"/>
        <v>-0.004732112104180912</v>
      </c>
      <c r="O307" s="41">
        <f t="shared" si="249"/>
        <v>-0.31751823338133256</v>
      </c>
      <c r="P307" s="41">
        <f t="shared" si="249"/>
        <v>-1.234157182771294</v>
      </c>
      <c r="Q307" s="41">
        <f t="shared" si="249"/>
        <v>-2.8815012711639607</v>
      </c>
      <c r="R307" s="41">
        <f t="shared" si="249"/>
        <v>-5.183622339699301</v>
      </c>
      <c r="S307" s="41">
        <f t="shared" si="249"/>
        <v>-7.534813993534005</v>
      </c>
      <c r="T307" s="41">
        <f t="shared" si="249"/>
        <v>-8.627416305981816</v>
      </c>
      <c r="U307" s="41">
        <f t="shared" si="249"/>
        <v>-7.146077046045582</v>
      </c>
      <c r="V307" s="41">
        <f t="shared" si="249"/>
        <v>-3.087535147783242</v>
      </c>
      <c r="W307" s="41">
        <f t="shared" si="249"/>
        <v>2.0965821726717904</v>
      </c>
      <c r="X307" s="41">
        <f t="shared" si="249"/>
        <v>6.761926614651294</v>
      </c>
      <c r="Y307" s="41">
        <f t="shared" si="249"/>
        <v>9.938571660233766</v>
      </c>
      <c r="Z307" s="41">
        <f t="shared" si="249"/>
        <v>11.303629142317094</v>
      </c>
      <c r="AA307" s="112"/>
    </row>
    <row r="308" spans="1:27" ht="13.5" customHeight="1" thickBot="1">
      <c r="A308" s="102" t="s">
        <v>276</v>
      </c>
      <c r="B308" s="41">
        <f>B171</f>
        <v>210.43644192732495</v>
      </c>
      <c r="C308" s="41">
        <f aca="true" t="shared" si="250" ref="C308:Z308">C171</f>
        <v>138.39348270387308</v>
      </c>
      <c r="D308" s="41">
        <f t="shared" si="250"/>
        <v>89.36003625734426</v>
      </c>
      <c r="E308" s="41">
        <f t="shared" si="250"/>
        <v>59.37407080840882</v>
      </c>
      <c r="F308" s="41">
        <f t="shared" si="250"/>
        <v>35.40208388020562</v>
      </c>
      <c r="G308" s="41">
        <f t="shared" si="250"/>
        <v>8.286471987683347</v>
      </c>
      <c r="H308" s="41">
        <f t="shared" si="250"/>
        <v>-21.03782702091854</v>
      </c>
      <c r="I308" s="41">
        <f t="shared" si="250"/>
        <v>-43.64302546237765</v>
      </c>
      <c r="J308" s="41">
        <f t="shared" si="250"/>
        <v>-50.754616336426245</v>
      </c>
      <c r="K308" s="41">
        <f t="shared" si="250"/>
        <v>-41.14874293190895</v>
      </c>
      <c r="L308" s="41">
        <f t="shared" si="250"/>
        <v>-22.17822061685539</v>
      </c>
      <c r="M308" s="41">
        <f t="shared" si="250"/>
        <v>-5.295493613707404</v>
      </c>
      <c r="N308" s="41">
        <f t="shared" si="250"/>
        <v>-0.16619017088391402</v>
      </c>
      <c r="O308" s="41">
        <f t="shared" si="250"/>
        <v>-7.8714852072985515</v>
      </c>
      <c r="P308" s="41">
        <f t="shared" si="250"/>
        <v>-11.4607782053846</v>
      </c>
      <c r="Q308" s="41">
        <f t="shared" si="250"/>
        <v>19.78359641901173</v>
      </c>
      <c r="R308" s="41">
        <f t="shared" si="250"/>
        <v>48.63881468267138</v>
      </c>
      <c r="S308" s="41">
        <f t="shared" si="250"/>
        <v>-161.48022287355684</v>
      </c>
      <c r="T308" s="41">
        <f t="shared" si="250"/>
        <v>-734.6810773161949</v>
      </c>
      <c r="U308" s="41">
        <f t="shared" si="250"/>
        <v>-1032.4670584648297</v>
      </c>
      <c r="V308" s="41">
        <f t="shared" si="250"/>
        <v>-500.46615910346</v>
      </c>
      <c r="W308" s="41">
        <f t="shared" si="250"/>
        <v>291.3245954918334</v>
      </c>
      <c r="X308" s="41">
        <f t="shared" si="250"/>
        <v>661.3613336836931</v>
      </c>
      <c r="Y308" s="41">
        <f t="shared" si="250"/>
        <v>561.1454474518027</v>
      </c>
      <c r="Z308" s="41">
        <f t="shared" si="250"/>
        <v>561.1454474518027</v>
      </c>
      <c r="AA308" s="112"/>
    </row>
    <row r="309" spans="1:27" ht="13.5" customHeight="1" thickBot="1">
      <c r="A309" s="102" t="s">
        <v>277</v>
      </c>
      <c r="B309" s="41">
        <f>SUM(B304:B308)</f>
        <v>328.96911896243466</v>
      </c>
      <c r="C309" s="41">
        <f aca="true" t="shared" si="251" ref="C309:Z309">SUM(C304:C308)</f>
        <v>380.16405461913325</v>
      </c>
      <c r="D309" s="41">
        <f t="shared" si="251"/>
        <v>380.957662625053</v>
      </c>
      <c r="E309" s="41">
        <f t="shared" si="251"/>
        <v>343.14658778126994</v>
      </c>
      <c r="F309" s="41">
        <f t="shared" si="251"/>
        <v>272.5535898717793</v>
      </c>
      <c r="G309" s="41">
        <f t="shared" si="251"/>
        <v>175.35897473307585</v>
      </c>
      <c r="H309" s="41">
        <f t="shared" si="251"/>
        <v>64.32172872897961</v>
      </c>
      <c r="I309" s="41">
        <f t="shared" si="251"/>
        <v>-42.59592250591713</v>
      </c>
      <c r="J309" s="41">
        <f t="shared" si="251"/>
        <v>-130.24197889679954</v>
      </c>
      <c r="K309" s="41">
        <f t="shared" si="251"/>
        <v>-193.54710048320553</v>
      </c>
      <c r="L309" s="41">
        <f t="shared" si="251"/>
        <v>-237.59183547290903</v>
      </c>
      <c r="M309" s="41">
        <f t="shared" si="251"/>
        <v>-271.31205774521965</v>
      </c>
      <c r="N309" s="41">
        <f t="shared" si="251"/>
        <v>-299.53387922383024</v>
      </c>
      <c r="O309" s="41">
        <f t="shared" si="251"/>
        <v>-313.96503382034757</v>
      </c>
      <c r="P309" s="41">
        <f t="shared" si="251"/>
        <v>-280.7503271904678</v>
      </c>
      <c r="Q309" s="41">
        <f t="shared" si="251"/>
        <v>-141.01140226371672</v>
      </c>
      <c r="R309" s="41">
        <f t="shared" si="251"/>
        <v>106.19784591588623</v>
      </c>
      <c r="S309" s="41">
        <f t="shared" si="251"/>
        <v>243.28934639789907</v>
      </c>
      <c r="T309" s="41">
        <f t="shared" si="251"/>
        <v>47.302472195333166</v>
      </c>
      <c r="U309" s="41">
        <f t="shared" si="251"/>
        <v>-172.999060938218</v>
      </c>
      <c r="V309" s="41">
        <f t="shared" si="251"/>
        <v>-175.50482921249727</v>
      </c>
      <c r="W309" s="41">
        <f t="shared" si="251"/>
        <v>-183.8784398697003</v>
      </c>
      <c r="X309" s="41">
        <f t="shared" si="251"/>
        <v>-133.3971703025651</v>
      </c>
      <c r="Y309" s="41">
        <f t="shared" si="251"/>
        <v>74.34042893541647</v>
      </c>
      <c r="Z309" s="41">
        <f t="shared" si="251"/>
        <v>620.9120620766223</v>
      </c>
      <c r="AA309" s="112"/>
    </row>
    <row r="310" spans="1:27" ht="13.5" customHeight="1">
      <c r="A310" s="102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112"/>
    </row>
    <row r="311" spans="1:27" ht="13.5" customHeight="1" thickBot="1">
      <c r="A311" s="141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112"/>
    </row>
    <row r="312" spans="1:27" ht="13.5" customHeight="1" thickBot="1">
      <c r="A312" s="1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112"/>
    </row>
    <row r="313" spans="1:27" ht="13.5" customHeight="1">
      <c r="A313" s="102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112"/>
    </row>
    <row r="314" spans="1:27" ht="13.5" customHeight="1">
      <c r="A314" s="10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112"/>
    </row>
    <row r="315" spans="1:27" ht="13.5" customHeight="1">
      <c r="A315" s="10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112"/>
    </row>
    <row r="316" spans="1:27" ht="13.5" customHeight="1">
      <c r="A316" s="10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112"/>
    </row>
    <row r="317" spans="1:27" ht="13.5" customHeight="1">
      <c r="A317" s="10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112"/>
    </row>
    <row r="318" spans="1:27" ht="13.5" customHeight="1">
      <c r="A318" s="10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112"/>
    </row>
    <row r="319" spans="1:27" ht="13.5" customHeight="1">
      <c r="A319" s="10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112"/>
    </row>
    <row r="320" spans="1:27" ht="13.5" customHeight="1" thickBot="1">
      <c r="A320" s="141"/>
      <c r="G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112"/>
    </row>
    <row r="321" spans="9:27" ht="13.5" customHeight="1" thickBot="1"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112"/>
    </row>
    <row r="322" spans="1:27" ht="13.5" customHeight="1">
      <c r="A322" s="102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112"/>
    </row>
    <row r="323" spans="1:27" ht="13.5" customHeight="1">
      <c r="A323" s="10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112"/>
    </row>
    <row r="324" spans="1:27" ht="13.5" customHeight="1">
      <c r="A324" s="10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112"/>
    </row>
    <row r="325" spans="1:27" ht="13.5" customHeight="1">
      <c r="A325" s="10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112"/>
    </row>
    <row r="326" spans="1:27" ht="13.5" customHeight="1">
      <c r="A326" s="10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112"/>
    </row>
    <row r="327" spans="1:27" ht="13.5" customHeight="1">
      <c r="A327" s="10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112"/>
    </row>
    <row r="328" spans="1:27" ht="13.5" customHeight="1">
      <c r="A328" s="10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112"/>
    </row>
    <row r="329" spans="1:27" ht="13.5" customHeight="1" thickBot="1">
      <c r="A329" s="141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112"/>
    </row>
    <row r="330" spans="9:27" ht="13.5" customHeight="1" hidden="1"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112"/>
    </row>
    <row r="331" spans="9:27" ht="13.5" customHeight="1" hidden="1"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112"/>
    </row>
    <row r="332" spans="9:27" ht="13.5" customHeight="1" hidden="1"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112"/>
    </row>
    <row r="333" spans="9:27" ht="13.5" customHeight="1" hidden="1"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112"/>
    </row>
    <row r="334" spans="9:27" ht="13.5" customHeight="1" hidden="1"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112"/>
    </row>
    <row r="335" spans="9:27" ht="13.5" customHeight="1" hidden="1"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112"/>
    </row>
    <row r="336" spans="9:27" ht="13.5" customHeight="1" hidden="1"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112"/>
    </row>
    <row r="337" spans="9:27" ht="13.5" customHeight="1" hidden="1"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112"/>
    </row>
    <row r="338" spans="9:27" ht="13.5" customHeight="1" hidden="1"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112"/>
    </row>
    <row r="339" spans="9:27" ht="13.5" customHeight="1" hidden="1"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112"/>
    </row>
    <row r="340" spans="9:27" ht="13.5" customHeight="1" hidden="1"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112"/>
    </row>
    <row r="341" spans="9:27" ht="13.5" customHeight="1" hidden="1"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112"/>
    </row>
    <row r="342" spans="9:27" ht="13.5" customHeight="1" hidden="1"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112"/>
    </row>
    <row r="343" spans="9:27" ht="13.5" customHeight="1" hidden="1"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112"/>
    </row>
    <row r="344" spans="9:27" ht="13.5" customHeight="1" hidden="1"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112"/>
    </row>
    <row r="345" spans="9:27" ht="13.5" customHeight="1" hidden="1"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112"/>
    </row>
    <row r="346" spans="9:27" ht="13.5" customHeight="1" hidden="1"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112"/>
    </row>
    <row r="347" spans="9:27" ht="13.5" customHeight="1" hidden="1"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112"/>
    </row>
    <row r="348" spans="9:27" ht="13.5" customHeight="1" hidden="1"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112"/>
    </row>
    <row r="349" spans="9:27" ht="13.5" customHeight="1" hidden="1"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112"/>
    </row>
    <row r="350" spans="9:27" ht="13.5" customHeight="1" hidden="1"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112"/>
    </row>
    <row r="351" spans="9:27" ht="12.75" hidden="1"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112"/>
    </row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8.75" customHeight="1" hidden="1"/>
  </sheetData>
  <printOptions/>
  <pageMargins left="0.3937007874015748" right="0.3937007874015748" top="0.3937007874015748" bottom="0.3937007874015748" header="0" footer="0"/>
  <pageSetup orientation="landscape" paperSize="9" scale="53" r:id="rId2"/>
  <rowBreaks count="1" manualBreakCount="1">
    <brk id="65" max="2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51"/>
  </sheetPr>
  <dimension ref="A1:A1"/>
  <sheetViews>
    <sheetView workbookViewId="0" topLeftCell="A46">
      <selection activeCell="F51" sqref="F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Q1:Q200"/>
  <sheetViews>
    <sheetView workbookViewId="0" topLeftCell="A224">
      <selection activeCell="A105" sqref="A105"/>
    </sheetView>
  </sheetViews>
  <sheetFormatPr defaultColWidth="9.140625" defaultRowHeight="12.75"/>
  <sheetData>
    <row r="1" ht="12.75">
      <c r="Q1" s="44" t="s">
        <v>70</v>
      </c>
    </row>
    <row r="2" ht="12.75">
      <c r="Q2" s="44" t="s">
        <v>71</v>
      </c>
    </row>
    <row r="3" ht="12.75">
      <c r="Q3" s="44" t="s">
        <v>72</v>
      </c>
    </row>
    <row r="4" ht="12.75">
      <c r="Q4" s="43"/>
    </row>
    <row r="5" ht="12.75">
      <c r="Q5" s="43"/>
    </row>
    <row r="6" ht="12.75">
      <c r="Q6" s="43"/>
    </row>
    <row r="7" ht="12.75">
      <c r="Q7" s="43"/>
    </row>
    <row r="8" ht="12.75">
      <c r="Q8" s="43"/>
    </row>
    <row r="9" ht="12.75">
      <c r="Q9" s="43"/>
    </row>
    <row r="10" ht="12.75">
      <c r="Q10" s="43"/>
    </row>
    <row r="11" ht="12.75">
      <c r="Q11" s="43"/>
    </row>
    <row r="12" ht="12.75">
      <c r="Q12" s="43"/>
    </row>
    <row r="13" ht="12.75">
      <c r="Q13" s="43"/>
    </row>
    <row r="14" ht="12.75">
      <c r="Q14" s="43"/>
    </row>
    <row r="15" ht="12.75">
      <c r="Q15" s="43"/>
    </row>
    <row r="16" ht="12.75">
      <c r="Q16" s="43"/>
    </row>
    <row r="17" ht="12.75">
      <c r="Q17" s="41"/>
    </row>
    <row r="18" ht="12.75">
      <c r="Q18" s="41"/>
    </row>
    <row r="19" ht="12.75">
      <c r="Q19" s="43"/>
    </row>
    <row r="20" ht="13.5" thickBot="1">
      <c r="Q20" s="41"/>
    </row>
    <row r="21" ht="12.75">
      <c r="Q21" s="39">
        <f>Расчеты!Y21+Расчеты!$F$12</f>
        <v>360</v>
      </c>
    </row>
    <row r="22" ht="12.75">
      <c r="Q22" s="43">
        <f>RADIANS(Q21)</f>
        <v>6.283185307179586</v>
      </c>
    </row>
    <row r="23" ht="12.75">
      <c r="Q23" s="43">
        <f>Q22-Расчеты!$B$22</f>
        <v>6.283185307179586</v>
      </c>
    </row>
    <row r="24" ht="12.75">
      <c r="Q24" s="43">
        <f>RADIANS(Q21-Расчеты!$B$21)</f>
        <v>6.283185307179586</v>
      </c>
    </row>
    <row r="25" ht="12.75">
      <c r="Q25" s="43">
        <f>COS(Q24)</f>
        <v>1</v>
      </c>
    </row>
    <row r="26" ht="12.75">
      <c r="Q26" s="43">
        <f>SIN(Q24)</f>
        <v>-2.45029690981724E-16</v>
      </c>
    </row>
    <row r="27" ht="12.75">
      <c r="Q27" s="43">
        <f>Расчеты!Y27+Расчеты!$F$14</f>
        <v>0.24000000000000007</v>
      </c>
    </row>
    <row r="28" ht="12.75">
      <c r="Q28" s="43">
        <f>(Q24-Расчеты!Y24)/Расчеты!Y29</f>
        <v>0.17001183316546703</v>
      </c>
    </row>
    <row r="29" ht="12.75">
      <c r="Q29" s="43">
        <f>Расчеты!Y29+Расчеты!Y27*Расчеты!Y28</f>
        <v>1.5800186516157486</v>
      </c>
    </row>
    <row r="30" ht="12.75">
      <c r="Q30" s="43">
        <f>Расчеты!Y30+Расчеты!Y29*Q28+Расчеты!Y27*Q28*Q28/2</f>
        <v>6.3424382954666685</v>
      </c>
    </row>
    <row r="31" ht="13.5" thickBot="1">
      <c r="Q31" s="64">
        <f>Q22-Q30</f>
        <v>-0.05925298828708225</v>
      </c>
    </row>
    <row r="32" ht="12.75">
      <c r="Q32" s="43"/>
    </row>
    <row r="33" ht="13.5" thickBot="1">
      <c r="Q33" s="43"/>
    </row>
    <row r="34" ht="12.75">
      <c r="Q34" s="39">
        <f>Расчеты!$B$9*Q25-Расчеты!$D$9*Q26</f>
        <v>7.14</v>
      </c>
    </row>
    <row r="35" ht="12.75">
      <c r="Q35" s="43">
        <f>Расчеты!$B$9*Q26+Расчеты!$D$9*Q25</f>
        <v>-1.7495119936095093E-15</v>
      </c>
    </row>
    <row r="36" ht="12.75">
      <c r="Q36" s="42">
        <f>-Q29*Q35</f>
        <v>2.764261581128477E-15</v>
      </c>
    </row>
    <row r="37" ht="12.75">
      <c r="Q37" s="42">
        <f>Q29*Q34</f>
        <v>11.281333172536444</v>
      </c>
    </row>
    <row r="38" ht="12.75">
      <c r="Q38" s="42">
        <f>-Q29*Q37-Q27*Q35</f>
        <v>-17.82471682769905</v>
      </c>
    </row>
    <row r="39" ht="13.5" thickBot="1">
      <c r="Q39" s="65">
        <f>Q29*Q36+Q27*Q34</f>
        <v>1.713600000000005</v>
      </c>
    </row>
    <row r="40" ht="12.75">
      <c r="Q40" s="43"/>
    </row>
    <row r="41" ht="13.5" thickBot="1">
      <c r="Q41" s="43"/>
    </row>
    <row r="42" ht="12.75">
      <c r="Q42" s="39">
        <f>Расчеты!$B$12*Q25-Расчеты!$D$12*Q26</f>
        <v>7.14</v>
      </c>
    </row>
    <row r="43" ht="12.75">
      <c r="Q43" s="43">
        <f>Расчеты!$B$12*Q26+Расчеты!$D$12*Q25</f>
        <v>-1.7495119936095093E-15</v>
      </c>
    </row>
    <row r="44" ht="12.75">
      <c r="Q44" s="43">
        <f>-Q29*Q43</f>
        <v>2.764261581128477E-15</v>
      </c>
    </row>
    <row r="45" ht="12.75">
      <c r="Q45" s="43">
        <f>Q29*Q42</f>
        <v>11.281333172536444</v>
      </c>
    </row>
    <row r="46" ht="12.75">
      <c r="Q46" s="43">
        <f>-Q29*Q45-Q27*Q43</f>
        <v>-17.82471682769905</v>
      </c>
    </row>
    <row r="47" ht="13.5" thickBot="1">
      <c r="Q47" s="64">
        <f>Q29*Q44+Q27*Q42</f>
        <v>1.713600000000005</v>
      </c>
    </row>
    <row r="48" ht="12.75">
      <c r="Q48" s="43"/>
    </row>
    <row r="49" ht="13.5" thickBot="1">
      <c r="Q49" s="43"/>
    </row>
    <row r="50" ht="12.75">
      <c r="Q50" s="39">
        <f>Расчеты!$F$6-Расчеты!$B$6*COS(RADIANS(Q21))</f>
        <v>5.06</v>
      </c>
    </row>
    <row r="51" ht="12.75">
      <c r="Q51" s="43">
        <f>Расчеты!$F$7-Расчеты!$B$6*SIN(RADIANS(Q21))</f>
        <v>-21.3</v>
      </c>
    </row>
    <row r="52" ht="12.75">
      <c r="Q52" s="43">
        <f>(Q50^2+Q51^2+Расчеты!$B$7^2-Расчеты!$B$8^2)/(2*Расчеты!$B$7)</f>
        <v>7.961463414634145</v>
      </c>
    </row>
    <row r="53" ht="12.75">
      <c r="Q53" s="43">
        <f>Q50^2+Q51^2-Q52^2</f>
        <v>415.90870029744207</v>
      </c>
    </row>
    <row r="54" ht="12.75">
      <c r="Q54" s="43">
        <f>(Q51+SQRT(Q53))/(Q50+Q52)</f>
        <v>-0.06958973870229547</v>
      </c>
    </row>
    <row r="55" ht="12.75">
      <c r="Q55" s="43">
        <f>ATAN(Q54)</f>
        <v>-0.0694777291699227</v>
      </c>
    </row>
    <row r="56" ht="12.75">
      <c r="Q56" s="43">
        <f>2*Q55</f>
        <v>-0.1389554583398454</v>
      </c>
    </row>
    <row r="57" ht="12.75">
      <c r="Q57" s="43">
        <f>(Расчеты!AB56-Q56)/RADIANS(Расчеты!$F$12)*Q29</f>
        <v>0.8386276903336753</v>
      </c>
    </row>
    <row r="58" ht="12.75">
      <c r="Q58" s="43">
        <f>ACOS((Расчеты!$B$7*COS(Q56)-Q50)/Расчеты!$B$8)</f>
        <v>0.8805956585865192</v>
      </c>
    </row>
    <row r="59" ht="12.75">
      <c r="Q59" s="43">
        <f>(Расчеты!AB58-Q58)/RADIANS(Расчеты!$F$12)*Q29</f>
        <v>-5.314594418249724</v>
      </c>
    </row>
    <row r="60" ht="12.75">
      <c r="Q60" s="43">
        <f>-Q29*Расчеты!$B$6*SIN(RADIANS(Q21)-Q58)/(Расчеты!$B$7*SIN(Q56-Q58))</f>
        <v>-0.49814147097962025</v>
      </c>
    </row>
    <row r="61" ht="12.75">
      <c r="Q61" s="43">
        <f>-Q29*Расчеты!$B$6*SIN(RADIANS(Q21)-Q56)/(Расчеты!$B$8*SIN(Q56-Q58))</f>
        <v>0.07661936154090053</v>
      </c>
    </row>
    <row r="62" ht="12.75">
      <c r="Q62" s="43">
        <f>Q27*Расчеты!$B$6*SIN(RADIANS(Q21))+Q29^2*Расчеты!$B$6*COS(RADIANS(Q21))+Q60^2*Расчеты!$B$7*COS(Q56)-Q61^2*Расчеты!$B$8*COS(Q58)</f>
        <v>22.77317462807294</v>
      </c>
    </row>
    <row r="63" ht="12.75">
      <c r="Q63" s="43">
        <f>-Q27*Расчеты!$B$6*COS(RADIANS(Q21))+Q29^2*Расчеты!$B$6*SIN(RADIANS(Q21))+Q60^2*Расчеты!$B$7*SIN(Q56)-Q61^2*Расчеты!$B$8*SIN(Q58)</f>
        <v>-2.526563095172631</v>
      </c>
    </row>
    <row r="64" ht="12.75">
      <c r="Q64" s="43">
        <f>(Q62*COS(Q58)+Q63*SIN(Q58))/Расчеты!$B$7/SIN(Q58-Q56)</f>
        <v>0.7187157179561261</v>
      </c>
    </row>
    <row r="65" ht="13.5" thickBot="1">
      <c r="Q65" s="64">
        <f>(Q62*COS(Q56)+Q63*SIN(Q56))/Расчеты!$B$8/SIN(Q58-Q56)</f>
        <v>1.1230656003309276</v>
      </c>
    </row>
    <row r="66" ht="12.75">
      <c r="Q66" s="41"/>
    </row>
    <row r="67" ht="13.5" thickBot="1">
      <c r="Q67" s="43"/>
    </row>
    <row r="68" ht="12.75">
      <c r="Q68" s="39">
        <f>Q34+(Расчеты!$B$10-Расчеты!$B$9)*COS(Q56-Расчеты!$B$56)-(Расчеты!$D$10-Расчеты!$D$9)*SIN(Q56-Расчеты!$B$56)</f>
        <v>27.442404899026897</v>
      </c>
    </row>
    <row r="69" ht="12.75">
      <c r="Q69" s="43">
        <f>Q35+(Расчеты!$B$10-Расчеты!$B$9)*SIN(Q56-Расчеты!$B$56)+(Расчеты!$D$10-Расчеты!$D$9)*COS(Q56-Расчеты!$B$56)</f>
        <v>-2.8394286953485435</v>
      </c>
    </row>
    <row r="70" ht="12.75">
      <c r="Q70" s="43">
        <f>Q36-Q60*(Q69-Q35)</f>
        <v>-1.414437187042664</v>
      </c>
    </row>
    <row r="71" ht="12.75">
      <c r="Q71" s="43">
        <f>Q37+Q60*(Q68-Q34)</f>
        <v>1.1678633317113363</v>
      </c>
    </row>
    <row r="72" ht="12.75">
      <c r="Q72" s="43">
        <f>Q38-Q64*(Q69-Q35)-Q60*(Q71-Q37)</f>
        <v>-20.82191353755304</v>
      </c>
    </row>
    <row r="73" ht="13.5" thickBot="1">
      <c r="Q73" s="64">
        <f>Q39+Q64*(Q68-Q34)+Q60*(Q70-Q36)</f>
        <v>17.009847334201805</v>
      </c>
    </row>
    <row r="74" ht="12.75">
      <c r="Q74" s="43"/>
    </row>
    <row r="75" ht="13.5" thickBot="1">
      <c r="Q75" s="43"/>
    </row>
    <row r="76" ht="12.75">
      <c r="Q76" s="67">
        <f>Q34+(Расчеты!$B$13-Расчеты!$B$9)*COS(Q56-Расчеты!$B$56)-(Расчеты!$D$13-Расчеты!$D$9)*SIN(Q56-Расчеты!$B$56)</f>
        <v>12</v>
      </c>
    </row>
    <row r="77" ht="12.75">
      <c r="Q77" s="69">
        <f>Q35+(Расчеты!$B$13-Расчеты!$B$9)*SIN(Q56-Расчеты!$B$56)+(Расчеты!$D$13-Расчеты!$D$9)*COS(Q56-Расчеты!$B$56)</f>
        <v>14.199999999999998</v>
      </c>
    </row>
    <row r="78" ht="12.75">
      <c r="Q78" s="69">
        <f>Q36-Q60*(Q77-Q35)</f>
        <v>7.07360888791061</v>
      </c>
    </row>
    <row r="79" ht="12.75">
      <c r="Q79" s="69">
        <f>Q37+Q60*(Q76-Q34)</f>
        <v>8.86036562357549</v>
      </c>
    </row>
    <row r="80" ht="12.75">
      <c r="Q80" s="69">
        <f>Q38-Q64*(Q77-Q35)-Q60*(Q79-Q37)</f>
        <v>-29.236464358709373</v>
      </c>
    </row>
    <row r="81" ht="13.5" thickBot="1">
      <c r="Q81" s="71">
        <f>Q39+Q64*(Q76-Q34)+Q60*(Q78-Q36)</f>
        <v>1.6829004527084725</v>
      </c>
    </row>
    <row r="82" ht="12.75">
      <c r="Q82" s="43"/>
    </row>
    <row r="83" ht="13.5" thickBot="1">
      <c r="Q83" s="43"/>
    </row>
    <row r="84" ht="12.75">
      <c r="Q84" s="72">
        <f>Расчеты!$F$6+(Расчеты!$B$10-Расчеты!$F$6)*COS(Q58-Расчеты!$B$58)-(Расчеты!$D$10-Расчеты!$F$7)*SIN(Q58-Расчеты!$B$58)</f>
        <v>27.442404899026897</v>
      </c>
    </row>
    <row r="85" ht="12.75">
      <c r="Q85" s="73">
        <f>Расчеты!$F$7+(Расчеты!$B$10-Расчеты!$F$6)*SIN(Q58-Расчеты!$B$58)+(Расчеты!$D$10-Расчеты!$F$7)*COS(Q58-Расчеты!$B$58)</f>
        <v>-2.8394286953485413</v>
      </c>
    </row>
    <row r="86" ht="12.75">
      <c r="Q86" s="73">
        <f>-Q61*(Q85-Расчеты!$F$7)</f>
        <v>-1.414437187042664</v>
      </c>
    </row>
    <row r="87" ht="12.75">
      <c r="Q87" s="73">
        <f>Q61*(Q84-Расчеты!$F$6)</f>
        <v>1.1678633317113354</v>
      </c>
    </row>
    <row r="88" ht="12.75">
      <c r="Q88" s="73">
        <f>-Q61*Q87-Q65*(Q85-Расчеты!$F$7)</f>
        <v>-20.821913537553037</v>
      </c>
    </row>
    <row r="89" ht="13.5" thickBot="1">
      <c r="Q89" s="74">
        <f>Q61*Q86+Q65*(Q84-Расчеты!$F$6)</f>
        <v>17.0098473342018</v>
      </c>
    </row>
    <row r="90" ht="12.75">
      <c r="Q90" s="43"/>
    </row>
    <row r="91" ht="13.5" thickBot="1">
      <c r="Q91" s="43"/>
    </row>
    <row r="92" ht="12.75">
      <c r="Q92" s="39">
        <f>Расчеты!$F$6+(Расчеты!$B$14-Расчеты!$F$6)*COS(Q58-Расчеты!$B$58)-(Расчеты!$D$14-Расчеты!$F$7)*SIN(Q58-Расчеты!$B$58)</f>
        <v>34.5</v>
      </c>
    </row>
    <row r="93" ht="12.75">
      <c r="Q93" s="43">
        <f>Расчеты!$F$7+(Расчеты!$B$14-Расчеты!$F$6)*SIN(Q58-Расчеты!$B$58)+(Расчеты!$D$14-Расчеты!$F$7)*COS(Q58-Расчеты!$B$58)</f>
        <v>7</v>
      </c>
    </row>
    <row r="94" ht="12.75">
      <c r="Q94" s="43">
        <f>-Q61*(Q93-Расчеты!$F$7)</f>
        <v>-2.168327931607485</v>
      </c>
    </row>
    <row r="95" ht="12.75">
      <c r="Q95" s="43">
        <f>Q61*(Q92-Расчеты!$F$6)</f>
        <v>1.7086117623620818</v>
      </c>
    </row>
    <row r="96" ht="12.75">
      <c r="Q96" s="43">
        <f>-Q61*Q95-Q65*(Q93-Расчеты!$F$7)</f>
        <v>-31.913669231718707</v>
      </c>
    </row>
    <row r="97" ht="13.5" thickBot="1">
      <c r="Q97" s="64">
        <f>Q61*Q94+Q65*(Q92-Расчеты!$F$6)</f>
        <v>24.87822698564862</v>
      </c>
    </row>
    <row r="98" ht="203.25" customHeight="1">
      <c r="Q98" s="43"/>
    </row>
    <row r="99" ht="279.75" customHeight="1" thickBot="1">
      <c r="Q99" s="43"/>
    </row>
    <row r="100" ht="12.75">
      <c r="Q100" s="39">
        <f>((Q35-Расчеты!$D$16)*(Q68-Q34)-Q69*Q34+Q35*Q34)/((Q68-Q34)*Расчеты!$F$16-Q69+Q35)</f>
        <v>11.880081441580739</v>
      </c>
    </row>
    <row r="101" ht="12.75">
      <c r="Q101" s="43">
        <f>Расчеты!$F$16*Q100+Расчеты!$D$16</f>
        <v>-0.6629324619645658</v>
      </c>
    </row>
    <row r="102" ht="12.75">
      <c r="Q102" s="43">
        <f>Q100-Q34</f>
        <v>4.740081441580739</v>
      </c>
    </row>
    <row r="103" ht="12.75">
      <c r="Q103" s="43">
        <f>Q68-Q100</f>
        <v>15.562323457446158</v>
      </c>
    </row>
    <row r="104" ht="12.75">
      <c r="Q104" s="43">
        <f>Q101-Q35</f>
        <v>-0.662932461964564</v>
      </c>
    </row>
    <row r="105" ht="13.5" thickBot="1">
      <c r="Q105" s="64">
        <f>Q69-Q101</f>
        <v>-2.1764962333839777</v>
      </c>
    </row>
    <row r="106" ht="12.75">
      <c r="Q106" s="39">
        <f>Расчеты!AB100-Q100</f>
        <v>-11.880081441580739</v>
      </c>
    </row>
    <row r="107" ht="13.5" thickBot="1">
      <c r="Q107" s="64">
        <f>Расчеты!AB101-Q101</f>
        <v>0.6629324619645658</v>
      </c>
    </row>
    <row r="108" ht="12.75">
      <c r="Q108" s="43">
        <f>SQRT(Q106^2+Q107^2)</f>
        <v>11.898563548080814</v>
      </c>
    </row>
    <row r="109" ht="12.75">
      <c r="Q109" s="43"/>
    </row>
    <row r="110" ht="12.75">
      <c r="Q110" s="41"/>
    </row>
    <row r="111" ht="13.5" thickBot="1">
      <c r="Q111" s="41"/>
    </row>
    <row r="112" ht="12.75">
      <c r="Q112" s="39">
        <f>Q100+Расчеты!$B$17*COS(Расчеты!$B$16)</f>
        <v>15.503548073016029</v>
      </c>
    </row>
    <row r="113" ht="13.5" thickBot="1">
      <c r="Q113" s="64">
        <f>Q101+Расчеты!$B$17*SIN(Расчеты!$B$16)</f>
        <v>12.86002910608239</v>
      </c>
    </row>
    <row r="114" ht="12.75">
      <c r="Q114" s="41"/>
    </row>
    <row r="115" ht="12.75">
      <c r="Q115" s="41"/>
    </row>
    <row r="116" ht="13.5" thickBot="1">
      <c r="Q116" s="41"/>
    </row>
    <row r="117" ht="12.75">
      <c r="Q117" s="79">
        <f>1/2*Расчеты!$D$6*(Q44^2+Q45^2)+1/2*Расчеты!$B$15*Q29^2</f>
        <v>64.88246854461242</v>
      </c>
    </row>
    <row r="118" ht="12.75">
      <c r="Q118" s="80">
        <f>Расчеты!$D$6*Q46</f>
        <v>-17.82471682769905</v>
      </c>
    </row>
    <row r="119" ht="12.75">
      <c r="Q119" s="80">
        <f>Расчеты!$D$6*Q47</f>
        <v>1.713600000000005</v>
      </c>
    </row>
    <row r="120" ht="12.75">
      <c r="Q120" s="80">
        <f>Расчеты!$B$15*Q27</f>
        <v>0.24000000000000007</v>
      </c>
    </row>
    <row r="121" ht="12.75">
      <c r="Q121" s="82">
        <f>(Расчеты!AB129-Q117)/RADIANS(Расчеты!$F$12)*Q29</f>
        <v>-391.58040561198294</v>
      </c>
    </row>
    <row r="122" ht="12.75">
      <c r="Q122" s="82">
        <f>Q118*Q44+Q119*Q45+Q120*Q29</f>
        <v>19.710897000846238</v>
      </c>
    </row>
    <row r="123" ht="13.5" thickBot="1">
      <c r="Q123" s="84">
        <f>Q122+Расчеты!$D$6*Расчеты!$F$13*Q45</f>
        <v>130.38077542342876</v>
      </c>
    </row>
    <row r="124" ht="13.5" thickBot="1">
      <c r="Q124" s="80"/>
    </row>
    <row r="125" ht="12.75">
      <c r="Q125" s="88">
        <f>1/2*Расчеты!$D$7*(Q78^2+Q79^2)+1/2*Расчеты!$D$15*Q60^2</f>
        <v>128.72813037639855</v>
      </c>
    </row>
    <row r="126" ht="12.75">
      <c r="Q126" s="82">
        <f>Расчеты!$D$7*Q80</f>
        <v>-58.472928717418746</v>
      </c>
    </row>
    <row r="127" ht="12.75">
      <c r="Q127" s="82">
        <f>Расчеты!$D$7*Q81</f>
        <v>3.365800905416945</v>
      </c>
    </row>
    <row r="128" ht="12.75">
      <c r="Q128" s="82">
        <f>Расчеты!$D$15*Q64</f>
        <v>1.0780735769341891</v>
      </c>
    </row>
    <row r="129" ht="12.75">
      <c r="Q129" s="82">
        <f>(Расчеты!AB137-Q125)/RADIANS(Расчеты!$F$12)*Q29</f>
        <v>-776.903447682525</v>
      </c>
    </row>
    <row r="130" ht="12.75">
      <c r="Q130" s="82">
        <f>Q126*Q78+(Q127)*Q79+Q128*Q60</f>
        <v>-384.3294347969795</v>
      </c>
    </row>
    <row r="131" ht="13.5" thickBot="1">
      <c r="Q131" s="84">
        <f>Q130+Расчеты!$D$7*Расчеты!$F$13*Q79</f>
        <v>-210.4890612624284</v>
      </c>
    </row>
    <row r="132" ht="13.5" thickBot="1">
      <c r="Q132" s="86"/>
    </row>
    <row r="133" ht="12.75">
      <c r="Q133" s="88">
        <f>Расчеты!$D$8*(Q94^2+Q95^2)/2+Расчеты!$F$15*Q61^2/2</f>
        <v>3.814022402673388</v>
      </c>
    </row>
    <row r="134" ht="12.75">
      <c r="Q134" s="82">
        <f>Расчеты!$D$8*Q96</f>
        <v>-31.913669231718707</v>
      </c>
    </row>
    <row r="135" ht="12.75">
      <c r="Q135" s="82">
        <f>Расчеты!$D$8*Q97</f>
        <v>24.87822698564862</v>
      </c>
    </row>
    <row r="136" ht="12.75">
      <c r="Q136" s="82">
        <f>Расчеты!$F$15*Q65</f>
        <v>1.347678720397113</v>
      </c>
    </row>
    <row r="137" ht="12.75">
      <c r="Q137" s="82">
        <f>(Расчеты!AB145-Q133)/RADIANS(Расчеты!$F$12)*Q29</f>
        <v>-23.01848978549767</v>
      </c>
    </row>
    <row r="138" ht="12.75">
      <c r="Q138" s="82">
        <f>Q134*Q94+(Q135)*Q95+Q136*Q61</f>
        <v>111.80978993273014</v>
      </c>
    </row>
    <row r="139" ht="13.5" thickBot="1">
      <c r="Q139" s="84">
        <f>Q134*Q94+(Q135+Расчеты!$D$8*Расчеты!$F$13)*Q95+Q136*Q61</f>
        <v>128.57127132150217</v>
      </c>
    </row>
    <row r="140" ht="13.5" thickBot="1">
      <c r="Q140" s="41"/>
    </row>
    <row r="141" ht="12.75">
      <c r="Q141" s="75">
        <f>(Q108^2)/2</f>
        <v>70.78790725385875</v>
      </c>
    </row>
    <row r="142" ht="12.75">
      <c r="Q142" s="43"/>
    </row>
    <row r="143" ht="12.75">
      <c r="Q143" s="43"/>
    </row>
    <row r="144" ht="12.75">
      <c r="Q144" s="43"/>
    </row>
    <row r="145" ht="12.75">
      <c r="Q145" s="43"/>
    </row>
    <row r="146" ht="12.75">
      <c r="Q146" s="43"/>
    </row>
    <row r="147" ht="13.5" thickBot="1">
      <c r="Q147" s="64"/>
    </row>
    <row r="148" ht="12.75">
      <c r="Q148" s="43"/>
    </row>
    <row r="149" ht="13.5" thickBot="1">
      <c r="Q149" s="41"/>
    </row>
    <row r="150" ht="12.75">
      <c r="Q150" s="79">
        <f>Q117</f>
        <v>64.88246854461242</v>
      </c>
    </row>
    <row r="151" ht="12.75">
      <c r="Q151" s="82">
        <f>Q125</f>
        <v>128.72813037639855</v>
      </c>
    </row>
    <row r="152" ht="12.75">
      <c r="Q152" s="82">
        <f>Q133</f>
        <v>3.814022402673388</v>
      </c>
    </row>
    <row r="153" ht="12.75">
      <c r="Q153" s="43"/>
    </row>
    <row r="154" ht="13.5" thickBot="1">
      <c r="Q154" s="64"/>
    </row>
    <row r="155" ht="12.75">
      <c r="Q155" s="41"/>
    </row>
    <row r="156" ht="13.5" thickBot="1">
      <c r="Q156" s="41"/>
    </row>
    <row r="157" ht="12.75">
      <c r="Q157" s="39">
        <f>Q122</f>
        <v>19.710897000846238</v>
      </c>
    </row>
    <row r="158" ht="12.75">
      <c r="Q158" s="43">
        <f>Q130</f>
        <v>-384.3294347969795</v>
      </c>
    </row>
    <row r="159" ht="12.75">
      <c r="Q159" s="43">
        <f>Q138</f>
        <v>111.80978993273014</v>
      </c>
    </row>
    <row r="160" ht="12.75">
      <c r="Q160" s="43"/>
    </row>
    <row r="161" ht="13.5" thickBot="1">
      <c r="Q161" s="64"/>
    </row>
    <row r="162" ht="12.75">
      <c r="Q162" s="43"/>
    </row>
    <row r="163" ht="13.5" thickBot="1">
      <c r="Q163" s="43"/>
    </row>
    <row r="164" ht="12.75">
      <c r="Q164" s="90">
        <f>Расчеты!$D$6*Расчеты!$F$13*(Q43-Расчеты!$B$43)</f>
        <v>-1.7162712657309287E-14</v>
      </c>
    </row>
    <row r="165" ht="12.75">
      <c r="Q165" s="93">
        <f>Расчеты!$D$7*Расчеты!$F$13*(Q77-Расчеты!$B$77)</f>
        <v>-3.4852121189032916E-14</v>
      </c>
    </row>
    <row r="166" ht="12.75">
      <c r="Q166" s="96">
        <f>Расчеты!$D$8*Расчеты!$F$13*(Q93-Расчеты!$B$93)</f>
        <v>0</v>
      </c>
    </row>
    <row r="167" ht="12.75">
      <c r="Q167" s="41"/>
    </row>
    <row r="168" ht="13.5" thickBot="1">
      <c r="Q168" s="64"/>
    </row>
    <row r="169" ht="12.75">
      <c r="Q169" s="43"/>
    </row>
    <row r="170" ht="13.5" thickBot="1">
      <c r="Q170" s="43"/>
    </row>
    <row r="171" ht="12.75">
      <c r="Q171" s="99">
        <f>Расчеты!$D$6*Расчеты!$F$13*Q45</f>
        <v>110.66987842258251</v>
      </c>
    </row>
    <row r="172" ht="12.75">
      <c r="Q172" s="42">
        <f>Расчеты!$D$7*Расчеты!$F$13*Q79</f>
        <v>173.8403735345511</v>
      </c>
    </row>
    <row r="173" ht="12.75">
      <c r="Q173" s="42">
        <f>Расчеты!$D$8*Расчеты!$F$13*Q95</f>
        <v>16.761481388772022</v>
      </c>
    </row>
    <row r="174" ht="12.75">
      <c r="Q174" s="42"/>
    </row>
    <row r="175" ht="13.5" thickBot="1">
      <c r="Q175" s="65"/>
    </row>
    <row r="176" ht="12.75">
      <c r="Q176" s="43"/>
    </row>
    <row r="177" ht="13.5" thickBot="1">
      <c r="Q177" s="43"/>
    </row>
    <row r="178" ht="12.75">
      <c r="Q178" s="39"/>
    </row>
    <row r="179" ht="12.75">
      <c r="Q179" s="43"/>
    </row>
    <row r="180" ht="12.75">
      <c r="Q180" s="43"/>
    </row>
    <row r="181" ht="13.5" thickBot="1">
      <c r="Q181" s="64"/>
    </row>
    <row r="182" ht="12.75">
      <c r="Q182" s="43"/>
    </row>
    <row r="183" ht="12.75">
      <c r="Q183" s="43"/>
    </row>
    <row r="184" ht="12.75">
      <c r="Q184" s="43"/>
    </row>
    <row r="185" ht="13.5" thickBot="1">
      <c r="Q185" s="43"/>
    </row>
    <row r="186" ht="12.75">
      <c r="Q186" s="39"/>
    </row>
    <row r="187" ht="12.75">
      <c r="Q187" s="43"/>
    </row>
    <row r="188" ht="12.75">
      <c r="Q188" s="43"/>
    </row>
    <row r="189" ht="12.75">
      <c r="Q189" s="43"/>
    </row>
    <row r="190" ht="12.75">
      <c r="Q190" s="43"/>
    </row>
    <row r="191" ht="12.75">
      <c r="Q191" s="43"/>
    </row>
    <row r="192" ht="13.5" thickBot="1">
      <c r="Q192" s="64"/>
    </row>
    <row r="193" ht="13.5" thickBot="1">
      <c r="Q193" s="43"/>
    </row>
    <row r="194" ht="12.75">
      <c r="Q194" s="39"/>
    </row>
    <row r="195" ht="12.75">
      <c r="Q195" s="43"/>
    </row>
    <row r="196" ht="12.75">
      <c r="Q196" s="43"/>
    </row>
    <row r="197" ht="12.75">
      <c r="Q197" s="43"/>
    </row>
    <row r="198" ht="12.75">
      <c r="Q198" s="43"/>
    </row>
    <row r="199" ht="12.75">
      <c r="Q199" s="43"/>
    </row>
    <row r="200" ht="13.5" thickBot="1">
      <c r="Q200" s="6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Naleikin</dc:creator>
  <cp:keywords/>
  <dc:description/>
  <cp:lastModifiedBy>user</cp:lastModifiedBy>
  <cp:lastPrinted>2005-12-29T08:23:50Z</cp:lastPrinted>
  <dcterms:created xsi:type="dcterms:W3CDTF">1996-10-08T23:32:33Z</dcterms:created>
  <dcterms:modified xsi:type="dcterms:W3CDTF">2010-05-11T12:21:01Z</dcterms:modified>
  <cp:category/>
  <cp:version/>
  <cp:contentType/>
  <cp:contentStatus/>
</cp:coreProperties>
</file>